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9"/>
  <workbookPr updateLinks="always" defaultThemeVersion="124226"/>
  <mc:AlternateContent xmlns:mc="http://schemas.openxmlformats.org/markup-compatibility/2006">
    <mc:Choice Requires="x15">
      <x15ac:absPath xmlns:x15ac="http://schemas.microsoft.com/office/spreadsheetml/2010/11/ac" url="/Users/savia/Downloads/"/>
    </mc:Choice>
  </mc:AlternateContent>
  <xr:revisionPtr revIDLastSave="0" documentId="8_{5831CC61-D1A9-4565-9F0A-A656186738D4}" xr6:coauthVersionLast="47" xr6:coauthVersionMax="47" xr10:uidLastSave="{00000000-0000-0000-0000-000000000000}"/>
  <bookViews>
    <workbookView xWindow="0" yWindow="500" windowWidth="14940" windowHeight="15760" tabRatio="953" firstSheet="8" activeTab="8" xr2:uid="{00000000-000D-0000-FFFF-FFFF00000000}"/>
  </bookViews>
  <sheets>
    <sheet name="OLD" sheetId="4" state="hidden" r:id="rId1"/>
    <sheet name="Frametastic -&gt;" sheetId="17" r:id="rId2"/>
    <sheet name="1. P&amp;L" sheetId="16" r:id="rId3"/>
    <sheet name="2. Working Capital &amp; Capex" sheetId="15" r:id="rId4"/>
    <sheet name="3. FCFF &amp; FCFE" sheetId="14" r:id="rId5"/>
    <sheet name="4. Valuation" sheetId="13" r:id="rId6"/>
    <sheet name="Star Hotel -&gt;" sheetId="18" r:id="rId7"/>
    <sheet name="Key Assumptions" sheetId="27" r:id="rId8"/>
    <sheet name="Valuation_15%IRR" sheetId="26" r:id="rId9"/>
    <sheet name="Valuation_10%IRR " sheetId="28" r:id="rId10"/>
    <sheet name="Mobico -&gt;" sheetId="21" r:id="rId11"/>
    <sheet name="P&amp;L" sheetId="22" r:id="rId12"/>
    <sheet name="Working Capital &amp; Capex" sheetId="23" r:id="rId13"/>
    <sheet name="FCFF &amp; FCFE" sheetId="24" r:id="rId14"/>
    <sheet name="Valuations" sheetId="25" r:id="rId15"/>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7" l="1"/>
  <c r="M26" i="26"/>
  <c r="L26" i="26"/>
  <c r="K26" i="26"/>
  <c r="J26" i="26"/>
  <c r="I26" i="26"/>
  <c r="M24" i="26"/>
  <c r="L24" i="26"/>
  <c r="K24" i="26"/>
  <c r="J24" i="26"/>
  <c r="I24" i="26"/>
  <c r="E114" i="28"/>
  <c r="R107" i="28"/>
  <c r="Q107" i="28"/>
  <c r="P107" i="28"/>
  <c r="O107" i="28"/>
  <c r="N107" i="28"/>
  <c r="M107" i="28"/>
  <c r="L107" i="28"/>
  <c r="K107" i="28"/>
  <c r="J107" i="28"/>
  <c r="I107" i="28"/>
  <c r="E105" i="28"/>
  <c r="R81" i="28"/>
  <c r="R99" i="28" s="1"/>
  <c r="Q81" i="28"/>
  <c r="Q99" i="28" s="1"/>
  <c r="P81" i="28"/>
  <c r="P99" i="28" s="1"/>
  <c r="O81" i="28"/>
  <c r="O99" i="28" s="1"/>
  <c r="N81" i="28"/>
  <c r="N99" i="28" s="1"/>
  <c r="F79" i="28"/>
  <c r="H76" i="28"/>
  <c r="G76" i="28"/>
  <c r="F76" i="28"/>
  <c r="H74" i="28"/>
  <c r="G74" i="28"/>
  <c r="R44" i="28"/>
  <c r="R97" i="28" s="1"/>
  <c r="Q44" i="28"/>
  <c r="Q97" i="28" s="1"/>
  <c r="P44" i="28"/>
  <c r="P97" i="28" s="1"/>
  <c r="O44" i="28"/>
  <c r="O97" i="28" s="1"/>
  <c r="N44" i="28"/>
  <c r="N97" i="28" s="1"/>
  <c r="M44" i="28"/>
  <c r="M97" i="28" s="1"/>
  <c r="L44" i="28"/>
  <c r="L97" i="28" s="1"/>
  <c r="K44" i="28"/>
  <c r="K97" i="28" s="1"/>
  <c r="J44" i="28"/>
  <c r="J97" i="28" s="1"/>
  <c r="I44" i="28"/>
  <c r="I97" i="28" s="1"/>
  <c r="F39" i="28"/>
  <c r="F35" i="28"/>
  <c r="H34" i="28"/>
  <c r="M25" i="28"/>
  <c r="L25" i="28"/>
  <c r="K25" i="28"/>
  <c r="J25" i="28"/>
  <c r="I25" i="28"/>
  <c r="H25" i="28"/>
  <c r="H28" i="28" s="1"/>
  <c r="G25" i="28"/>
  <c r="G28" i="28" s="1"/>
  <c r="G29" i="28" s="1"/>
  <c r="F25" i="28"/>
  <c r="N24" i="28"/>
  <c r="O24" i="28" s="1"/>
  <c r="P24" i="28" s="1"/>
  <c r="Q24" i="28" s="1"/>
  <c r="R24" i="28" s="1"/>
  <c r="N23" i="28"/>
  <c r="I21" i="28"/>
  <c r="R18" i="28"/>
  <c r="Q18" i="28"/>
  <c r="P18" i="28"/>
  <c r="O18" i="28"/>
  <c r="N18" i="28"/>
  <c r="H18" i="28"/>
  <c r="G18" i="28"/>
  <c r="H17" i="28"/>
  <c r="G17" i="28"/>
  <c r="H26" i="28" s="1"/>
  <c r="F17" i="28"/>
  <c r="G26" i="28" s="1"/>
  <c r="I15" i="28"/>
  <c r="E110" i="26"/>
  <c r="F79" i="26"/>
  <c r="R81" i="26"/>
  <c r="R95" i="26" s="1"/>
  <c r="Q81" i="26"/>
  <c r="Q95" i="26" s="1"/>
  <c r="P81" i="26"/>
  <c r="P95" i="26" s="1"/>
  <c r="O81" i="26"/>
  <c r="O95" i="26" s="1"/>
  <c r="N81" i="26"/>
  <c r="N95" i="26" s="1"/>
  <c r="E20" i="27"/>
  <c r="I81" i="28" s="1"/>
  <c r="I82" i="27"/>
  <c r="E19" i="27"/>
  <c r="F41" i="26"/>
  <c r="F42" i="26"/>
  <c r="I27" i="26"/>
  <c r="I21" i="26"/>
  <c r="H17" i="26"/>
  <c r="G17" i="26"/>
  <c r="F17" i="26"/>
  <c r="I15" i="26"/>
  <c r="I77" i="26" s="1"/>
  <c r="R18" i="26"/>
  <c r="Q18" i="26"/>
  <c r="P18" i="26"/>
  <c r="O18" i="26"/>
  <c r="N18" i="26"/>
  <c r="J15" i="26"/>
  <c r="J77" i="26" s="1"/>
  <c r="I46" i="26"/>
  <c r="E15" i="27"/>
  <c r="E13" i="27"/>
  <c r="E11" i="27"/>
  <c r="E9" i="27"/>
  <c r="H18" i="26"/>
  <c r="G18" i="26"/>
  <c r="R103" i="26"/>
  <c r="Q103" i="26"/>
  <c r="P103" i="26"/>
  <c r="O103" i="26"/>
  <c r="N103" i="26"/>
  <c r="M103" i="26"/>
  <c r="L103" i="26"/>
  <c r="K103" i="26"/>
  <c r="J103" i="26"/>
  <c r="I103" i="26"/>
  <c r="E101" i="26"/>
  <c r="H76" i="26"/>
  <c r="G76" i="26"/>
  <c r="E16" i="27" s="1"/>
  <c r="R46" i="26"/>
  <c r="R93" i="26" s="1"/>
  <c r="Q46" i="26"/>
  <c r="Q93" i="26" s="1"/>
  <c r="P46" i="26"/>
  <c r="P93" i="26" s="1"/>
  <c r="O46" i="26"/>
  <c r="O93" i="26" s="1"/>
  <c r="N46" i="26"/>
  <c r="N93" i="26" s="1"/>
  <c r="M46" i="26"/>
  <c r="M93" i="26" s="1"/>
  <c r="L46" i="26"/>
  <c r="L93" i="26" s="1"/>
  <c r="K46" i="26"/>
  <c r="K93" i="26" s="1"/>
  <c r="J46" i="26"/>
  <c r="J93" i="26" s="1"/>
  <c r="I93" i="26"/>
  <c r="F37" i="26"/>
  <c r="H36" i="26"/>
  <c r="M27" i="26"/>
  <c r="L27" i="26"/>
  <c r="K27" i="26"/>
  <c r="J27" i="26"/>
  <c r="H27" i="26"/>
  <c r="H30" i="26" s="1"/>
  <c r="G27" i="26"/>
  <c r="G30" i="26" s="1"/>
  <c r="G31" i="26" s="1"/>
  <c r="F27" i="26"/>
  <c r="N25" i="26"/>
  <c r="N23" i="26"/>
  <c r="N24" i="26" s="1"/>
  <c r="E25" i="23"/>
  <c r="F25" i="23"/>
  <c r="G25" i="23"/>
  <c r="H25" i="23"/>
  <c r="I25" i="23"/>
  <c r="D25" i="23"/>
  <c r="E23" i="23"/>
  <c r="F23" i="23"/>
  <c r="G23" i="23"/>
  <c r="H23" i="23"/>
  <c r="I23" i="23"/>
  <c r="D23" i="23"/>
  <c r="I8" i="25"/>
  <c r="H8" i="25"/>
  <c r="G8" i="25"/>
  <c r="F8" i="25"/>
  <c r="E8" i="25"/>
  <c r="I12" i="24"/>
  <c r="H12" i="24"/>
  <c r="G12" i="24"/>
  <c r="F12" i="24"/>
  <c r="I11" i="24"/>
  <c r="H11" i="24"/>
  <c r="G11" i="24"/>
  <c r="F11" i="24"/>
  <c r="E12" i="24"/>
  <c r="E11" i="24"/>
  <c r="I10" i="24"/>
  <c r="H10" i="24"/>
  <c r="G10" i="24"/>
  <c r="F10" i="24"/>
  <c r="E10" i="24"/>
  <c r="I9" i="24"/>
  <c r="H9" i="24"/>
  <c r="G9" i="24"/>
  <c r="F9" i="24"/>
  <c r="E9" i="24"/>
  <c r="I8" i="24"/>
  <c r="H8" i="24"/>
  <c r="G8" i="24"/>
  <c r="F8" i="24"/>
  <c r="E8" i="24"/>
  <c r="H20" i="23"/>
  <c r="G20" i="23"/>
  <c r="F20" i="23"/>
  <c r="E20" i="23"/>
  <c r="D20" i="23"/>
  <c r="I20" i="23"/>
  <c r="I19" i="23"/>
  <c r="I18" i="23"/>
  <c r="H19" i="23"/>
  <c r="G19" i="23"/>
  <c r="F19" i="23"/>
  <c r="E19" i="23"/>
  <c r="D19" i="23"/>
  <c r="H18" i="23"/>
  <c r="G18" i="23"/>
  <c r="F18" i="23"/>
  <c r="E18" i="23"/>
  <c r="D18" i="23"/>
  <c r="D24" i="25"/>
  <c r="H10" i="25"/>
  <c r="G10" i="25"/>
  <c r="F10" i="25"/>
  <c r="E10" i="25"/>
  <c r="I13" i="24"/>
  <c r="H13" i="24"/>
  <c r="G13" i="24"/>
  <c r="F13" i="24"/>
  <c r="E13" i="24"/>
  <c r="H12" i="23"/>
  <c r="G12" i="23"/>
  <c r="F12" i="23"/>
  <c r="E12" i="23"/>
  <c r="D12" i="23"/>
  <c r="O38" i="22"/>
  <c r="N38" i="22"/>
  <c r="M38" i="22"/>
  <c r="L38" i="22"/>
  <c r="K38" i="22"/>
  <c r="J28" i="22"/>
  <c r="I28" i="22"/>
  <c r="H28" i="22"/>
  <c r="G28" i="22"/>
  <c r="K28" i="22" s="1"/>
  <c r="J25" i="22"/>
  <c r="I25" i="22"/>
  <c r="H25" i="22"/>
  <c r="G25" i="22"/>
  <c r="K25" i="22" s="1"/>
  <c r="J21" i="22"/>
  <c r="I21" i="22"/>
  <c r="H21" i="22"/>
  <c r="G21" i="22"/>
  <c r="F21" i="22"/>
  <c r="R19" i="22"/>
  <c r="J19" i="22"/>
  <c r="I19" i="22"/>
  <c r="H19" i="22"/>
  <c r="G19" i="22"/>
  <c r="F19" i="22"/>
  <c r="J16" i="22"/>
  <c r="I16" i="22"/>
  <c r="H16" i="22"/>
  <c r="G16" i="22"/>
  <c r="F16" i="22"/>
  <c r="J13" i="22"/>
  <c r="I13" i="22"/>
  <c r="H13" i="22"/>
  <c r="G13" i="22"/>
  <c r="K12" i="22"/>
  <c r="O29" i="16"/>
  <c r="N29" i="16"/>
  <c r="M29" i="16"/>
  <c r="L29" i="16"/>
  <c r="K29" i="16"/>
  <c r="M14" i="16"/>
  <c r="N14" i="16" s="1"/>
  <c r="O14" i="16" s="1"/>
  <c r="L14" i="16"/>
  <c r="E18" i="27" l="1"/>
  <c r="I78" i="26" s="1"/>
  <c r="O25" i="26"/>
  <c r="N26" i="26"/>
  <c r="I18" i="28"/>
  <c r="I17" i="28"/>
  <c r="J15" i="28"/>
  <c r="G39" i="28"/>
  <c r="G35" i="28"/>
  <c r="G32" i="28"/>
  <c r="G27" i="28"/>
  <c r="H39" i="28"/>
  <c r="H32" i="28"/>
  <c r="I32" i="28" s="1"/>
  <c r="J32" i="28" s="1"/>
  <c r="K32" i="28" s="1"/>
  <c r="L32" i="28" s="1"/>
  <c r="M32" i="28" s="1"/>
  <c r="N32" i="28" s="1"/>
  <c r="O32" i="28" s="1"/>
  <c r="P32" i="28" s="1"/>
  <c r="Q32" i="28" s="1"/>
  <c r="R32" i="28" s="1"/>
  <c r="H27" i="28"/>
  <c r="I28" i="28"/>
  <c r="I29" i="28" s="1"/>
  <c r="I26" i="28"/>
  <c r="J21" i="28"/>
  <c r="N25" i="28"/>
  <c r="O23" i="28"/>
  <c r="H29" i="28"/>
  <c r="H35" i="28"/>
  <c r="I35" i="28" s="1"/>
  <c r="J35" i="28" s="1"/>
  <c r="K35" i="28" s="1"/>
  <c r="L35" i="28" s="1"/>
  <c r="M35" i="28" s="1"/>
  <c r="N35" i="28" s="1"/>
  <c r="O35" i="28" s="1"/>
  <c r="P35" i="28" s="1"/>
  <c r="Q35" i="28" s="1"/>
  <c r="R35" i="28" s="1"/>
  <c r="F40" i="28"/>
  <c r="F41" i="28" s="1"/>
  <c r="G83" i="28"/>
  <c r="G79" i="28"/>
  <c r="H83" i="28"/>
  <c r="H79" i="28"/>
  <c r="K77" i="28"/>
  <c r="J77" i="28"/>
  <c r="I77" i="28"/>
  <c r="J76" i="28"/>
  <c r="I76" i="28"/>
  <c r="I99" i="28"/>
  <c r="H79" i="26"/>
  <c r="G79" i="26"/>
  <c r="I81" i="26"/>
  <c r="I95" i="26" s="1"/>
  <c r="E21" i="27"/>
  <c r="J81" i="28" s="1"/>
  <c r="I17" i="26"/>
  <c r="I30" i="26"/>
  <c r="F43" i="26"/>
  <c r="F44" i="26" s="1"/>
  <c r="H31" i="26"/>
  <c r="G28" i="26"/>
  <c r="G41" i="26" s="1"/>
  <c r="H28" i="26"/>
  <c r="H41" i="26" s="1"/>
  <c r="I31" i="26"/>
  <c r="I28" i="26"/>
  <c r="K15" i="26"/>
  <c r="K77" i="26" s="1"/>
  <c r="J17" i="26"/>
  <c r="I18" i="26"/>
  <c r="J21" i="26"/>
  <c r="N27" i="26"/>
  <c r="O23" i="26"/>
  <c r="O24" i="26" s="1"/>
  <c r="G37" i="26"/>
  <c r="G34" i="26"/>
  <c r="G29" i="26"/>
  <c r="H34" i="26"/>
  <c r="I34" i="26" s="1"/>
  <c r="J34" i="26" s="1"/>
  <c r="K34" i="26" s="1"/>
  <c r="L34" i="26" s="1"/>
  <c r="M34" i="26" s="1"/>
  <c r="N34" i="26" s="1"/>
  <c r="O34" i="26" s="1"/>
  <c r="P34" i="26" s="1"/>
  <c r="Q34" i="26" s="1"/>
  <c r="R34" i="26" s="1"/>
  <c r="H29" i="26"/>
  <c r="H37" i="26"/>
  <c r="I37" i="26" s="1"/>
  <c r="J37" i="26" s="1"/>
  <c r="K37" i="26" s="1"/>
  <c r="L37" i="26" s="1"/>
  <c r="M37" i="26" s="1"/>
  <c r="N37" i="26" s="1"/>
  <c r="O37" i="26" s="1"/>
  <c r="P37" i="26" s="1"/>
  <c r="Q37" i="26" s="1"/>
  <c r="R37" i="26" s="1"/>
  <c r="F50" i="26"/>
  <c r="I12" i="25"/>
  <c r="I14" i="25" s="1"/>
  <c r="I10" i="25"/>
  <c r="D20" i="25" s="1"/>
  <c r="D22" i="25" s="1"/>
  <c r="E13" i="23"/>
  <c r="F13" i="23"/>
  <c r="G13" i="23"/>
  <c r="H13" i="23"/>
  <c r="K33" i="22"/>
  <c r="K27" i="22"/>
  <c r="K24" i="22"/>
  <c r="K18" i="22"/>
  <c r="K15" i="22"/>
  <c r="K21" i="22" s="1"/>
  <c r="L12" i="22"/>
  <c r="F30" i="22"/>
  <c r="F22" i="22"/>
  <c r="G30" i="22"/>
  <c r="G22" i="22"/>
  <c r="H30" i="22"/>
  <c r="H22" i="22"/>
  <c r="I30" i="22"/>
  <c r="I22" i="22"/>
  <c r="J30" i="22"/>
  <c r="J22" i="22"/>
  <c r="L25" i="22"/>
  <c r="M25" i="22"/>
  <c r="N25" i="22"/>
  <c r="D21" i="13"/>
  <c r="H23" i="15"/>
  <c r="G23" i="15"/>
  <c r="F23" i="15"/>
  <c r="E23" i="15"/>
  <c r="D23" i="15"/>
  <c r="H21" i="15"/>
  <c r="G21" i="15"/>
  <c r="F21" i="15"/>
  <c r="I21" i="15" s="1"/>
  <c r="E21" i="15"/>
  <c r="D21" i="15"/>
  <c r="H20" i="15"/>
  <c r="G20" i="15"/>
  <c r="I20" i="15" s="1"/>
  <c r="F20" i="15"/>
  <c r="E20" i="15"/>
  <c r="D20" i="15"/>
  <c r="H19" i="15"/>
  <c r="G19" i="15"/>
  <c r="F19" i="15"/>
  <c r="E19" i="15"/>
  <c r="D19" i="15"/>
  <c r="I19" i="15" s="1"/>
  <c r="L34" i="16"/>
  <c r="M34" i="16" s="1"/>
  <c r="N34" i="16" s="1"/>
  <c r="O34" i="16" s="1"/>
  <c r="K34" i="16"/>
  <c r="O26" i="16"/>
  <c r="N26" i="16"/>
  <c r="M26" i="16"/>
  <c r="L26" i="16"/>
  <c r="K26" i="16"/>
  <c r="O20" i="16"/>
  <c r="N20" i="16"/>
  <c r="M20" i="16"/>
  <c r="L20" i="16"/>
  <c r="K20" i="16"/>
  <c r="K13" i="16"/>
  <c r="H29" i="16"/>
  <c r="I29" i="16"/>
  <c r="J29" i="16"/>
  <c r="G29" i="16"/>
  <c r="H26" i="16"/>
  <c r="I26" i="16"/>
  <c r="J26" i="16"/>
  <c r="G26" i="16"/>
  <c r="H20" i="16"/>
  <c r="I20" i="16"/>
  <c r="J20" i="16"/>
  <c r="G20" i="16"/>
  <c r="G17" i="16"/>
  <c r="I17" i="16"/>
  <c r="J17" i="16"/>
  <c r="H17" i="16"/>
  <c r="K76" i="26" l="1"/>
  <c r="J76" i="26"/>
  <c r="I76" i="26"/>
  <c r="P25" i="26"/>
  <c r="O26" i="26"/>
  <c r="J99" i="28"/>
  <c r="K81" i="28"/>
  <c r="I84" i="28"/>
  <c r="J84" i="28"/>
  <c r="J75" i="28"/>
  <c r="R83" i="28"/>
  <c r="Q83" i="28"/>
  <c r="P83" i="28"/>
  <c r="O83" i="28"/>
  <c r="N83" i="28"/>
  <c r="M83" i="28"/>
  <c r="L83" i="28"/>
  <c r="K83" i="28"/>
  <c r="J83" i="28"/>
  <c r="J74" i="28" s="1"/>
  <c r="J79" i="28" s="1"/>
  <c r="J100" i="28" s="1"/>
  <c r="I83" i="28"/>
  <c r="I74" i="28" s="1"/>
  <c r="F48" i="28"/>
  <c r="F42" i="28"/>
  <c r="O25" i="28"/>
  <c r="P23" i="28"/>
  <c r="K21" i="28"/>
  <c r="J28" i="28"/>
  <c r="J29" i="28" s="1"/>
  <c r="I34" i="28"/>
  <c r="I31" i="28"/>
  <c r="I27" i="28"/>
  <c r="H40" i="28"/>
  <c r="H41" i="28" s="1"/>
  <c r="G40" i="28"/>
  <c r="G41" i="28" s="1"/>
  <c r="J18" i="28"/>
  <c r="J17" i="28"/>
  <c r="J26" i="28" s="1"/>
  <c r="K15" i="28"/>
  <c r="J81" i="26"/>
  <c r="J28" i="26"/>
  <c r="J30" i="26"/>
  <c r="H42" i="26"/>
  <c r="H43" i="26" s="1"/>
  <c r="D64" i="26" s="1"/>
  <c r="G42" i="26"/>
  <c r="G43" i="26" s="1"/>
  <c r="G44" i="26" s="1"/>
  <c r="J31" i="26"/>
  <c r="L15" i="26"/>
  <c r="K17" i="26"/>
  <c r="I36" i="26"/>
  <c r="I33" i="26"/>
  <c r="J18" i="26"/>
  <c r="J79" i="26"/>
  <c r="H50" i="26"/>
  <c r="G50" i="26"/>
  <c r="O27" i="26"/>
  <c r="P23" i="26"/>
  <c r="P24" i="26" s="1"/>
  <c r="K21" i="26"/>
  <c r="I29" i="26"/>
  <c r="I12" i="23"/>
  <c r="I13" i="23" s="1"/>
  <c r="J12" i="23"/>
  <c r="J13" i="23" s="1"/>
  <c r="K12" i="23"/>
  <c r="K13" i="23" s="1"/>
  <c r="L12" i="23"/>
  <c r="L13" i="23" s="1"/>
  <c r="M12" i="23"/>
  <c r="M13" i="23" s="1"/>
  <c r="L24" i="22"/>
  <c r="O25" i="22"/>
  <c r="M50" i="22"/>
  <c r="J35" i="22"/>
  <c r="J36" i="22" s="1"/>
  <c r="J31" i="22"/>
  <c r="I35" i="22"/>
  <c r="I36" i="22" s="1"/>
  <c r="I31" i="22"/>
  <c r="H35" i="22"/>
  <c r="H36" i="22" s="1"/>
  <c r="H31" i="22"/>
  <c r="G35" i="22"/>
  <c r="G36" i="22" s="1"/>
  <c r="G31" i="22"/>
  <c r="N52" i="22"/>
  <c r="N53" i="22" s="1"/>
  <c r="F35" i="22"/>
  <c r="F36" i="22" s="1"/>
  <c r="F31" i="22"/>
  <c r="L33" i="22"/>
  <c r="L27" i="22"/>
  <c r="L18" i="22"/>
  <c r="L15" i="22"/>
  <c r="L21" i="22" s="1"/>
  <c r="M12" i="22"/>
  <c r="K30" i="22"/>
  <c r="K22" i="22"/>
  <c r="I9" i="15"/>
  <c r="K16" i="16"/>
  <c r="I8" i="15" s="1"/>
  <c r="K28" i="16"/>
  <c r="K25" i="16"/>
  <c r="K19" i="16"/>
  <c r="L76" i="26" l="1"/>
  <c r="L77" i="26"/>
  <c r="Q25" i="26"/>
  <c r="P26" i="26"/>
  <c r="I78" i="28"/>
  <c r="I75" i="28" s="1"/>
  <c r="I79" i="28"/>
  <c r="I100" i="28" s="1"/>
  <c r="K18" i="28"/>
  <c r="K17" i="28"/>
  <c r="L15" i="28"/>
  <c r="L77" i="28"/>
  <c r="K76" i="28"/>
  <c r="J34" i="28"/>
  <c r="J31" i="28"/>
  <c r="J27" i="28"/>
  <c r="G48" i="28"/>
  <c r="G42" i="28"/>
  <c r="D62" i="28"/>
  <c r="H48" i="28"/>
  <c r="H42" i="28"/>
  <c r="I39" i="28"/>
  <c r="L21" i="28"/>
  <c r="K28" i="28"/>
  <c r="K29" i="28" s="1"/>
  <c r="K26" i="28"/>
  <c r="P25" i="28"/>
  <c r="Q23" i="28"/>
  <c r="K74" i="28"/>
  <c r="L74" i="28"/>
  <c r="K99" i="28"/>
  <c r="L81" i="28"/>
  <c r="J95" i="26"/>
  <c r="K81" i="26"/>
  <c r="H44" i="26"/>
  <c r="I41" i="26"/>
  <c r="K30" i="26"/>
  <c r="K28" i="26"/>
  <c r="M15" i="26"/>
  <c r="L17" i="26"/>
  <c r="J33" i="26"/>
  <c r="J36" i="26"/>
  <c r="J41" i="26" s="1"/>
  <c r="K18" i="26"/>
  <c r="J29" i="26"/>
  <c r="L21" i="26"/>
  <c r="P27" i="26"/>
  <c r="Q23" i="26"/>
  <c r="Q24" i="26" s="1"/>
  <c r="K35" i="22"/>
  <c r="K31" i="22"/>
  <c r="M33" i="22"/>
  <c r="M27" i="22"/>
  <c r="M18" i="22"/>
  <c r="M15" i="22"/>
  <c r="M21" i="22" s="1"/>
  <c r="N12" i="22"/>
  <c r="M24" i="22"/>
  <c r="L30" i="22"/>
  <c r="L22" i="22"/>
  <c r="I15" i="15"/>
  <c r="E12" i="14" s="1"/>
  <c r="I10" i="15"/>
  <c r="L13" i="16"/>
  <c r="J9" i="15" s="1"/>
  <c r="G14" i="16"/>
  <c r="H14" i="16"/>
  <c r="I14" i="16"/>
  <c r="J14" i="16"/>
  <c r="M76" i="26" l="1"/>
  <c r="M77" i="26"/>
  <c r="R25" i="26"/>
  <c r="R26" i="26" s="1"/>
  <c r="Q26" i="26"/>
  <c r="L99" i="28"/>
  <c r="M81" i="28"/>
  <c r="M99" i="28" s="1"/>
  <c r="Q25" i="28"/>
  <c r="R23" i="28"/>
  <c r="R25" i="28" s="1"/>
  <c r="K34" i="28"/>
  <c r="K31" i="28"/>
  <c r="K27" i="28"/>
  <c r="M21" i="28"/>
  <c r="L28" i="28"/>
  <c r="L29" i="28" s="1"/>
  <c r="I40" i="28"/>
  <c r="I41" i="28" s="1"/>
  <c r="J39" i="28"/>
  <c r="K84" i="28"/>
  <c r="K75" i="28"/>
  <c r="K79" i="28" s="1"/>
  <c r="K100" i="28" s="1"/>
  <c r="L18" i="28"/>
  <c r="L17" i="28"/>
  <c r="L26" i="28" s="1"/>
  <c r="M15" i="28"/>
  <c r="M77" i="28"/>
  <c r="L76" i="28"/>
  <c r="L81" i="26"/>
  <c r="K95" i="26"/>
  <c r="K31" i="26"/>
  <c r="I42" i="26"/>
  <c r="I43" i="26" s="1"/>
  <c r="I92" i="26" s="1"/>
  <c r="J42" i="26"/>
  <c r="J43" i="26" s="1"/>
  <c r="L30" i="26"/>
  <c r="L28" i="26"/>
  <c r="M17" i="26"/>
  <c r="K36" i="26"/>
  <c r="K33" i="26"/>
  <c r="M18" i="26"/>
  <c r="L18" i="26"/>
  <c r="Q27" i="26"/>
  <c r="R23" i="26"/>
  <c r="K29" i="26"/>
  <c r="M21" i="26"/>
  <c r="J50" i="26"/>
  <c r="L35" i="22"/>
  <c r="L31" i="22"/>
  <c r="N33" i="22"/>
  <c r="N27" i="22"/>
  <c r="N18" i="22"/>
  <c r="N15" i="22"/>
  <c r="N21" i="22" s="1"/>
  <c r="O12" i="22"/>
  <c r="N24" i="22"/>
  <c r="M30" i="22"/>
  <c r="M22" i="22"/>
  <c r="K40" i="22"/>
  <c r="K36" i="22"/>
  <c r="M13" i="16"/>
  <c r="L28" i="16"/>
  <c r="L25" i="16"/>
  <c r="L19" i="16"/>
  <c r="L16" i="16"/>
  <c r="R27" i="26" l="1"/>
  <c r="R24" i="26"/>
  <c r="L84" i="28"/>
  <c r="L75" i="28"/>
  <c r="L79" i="28" s="1"/>
  <c r="L100" i="28" s="1"/>
  <c r="M18" i="28"/>
  <c r="M17" i="28"/>
  <c r="N15" i="28"/>
  <c r="N77" i="28"/>
  <c r="M76" i="28"/>
  <c r="M74" i="28"/>
  <c r="L34" i="28"/>
  <c r="L31" i="28"/>
  <c r="L27" i="28"/>
  <c r="J40" i="28"/>
  <c r="J41" i="28" s="1"/>
  <c r="I96" i="28"/>
  <c r="I48" i="28"/>
  <c r="I42" i="28"/>
  <c r="N28" i="28"/>
  <c r="M28" i="28"/>
  <c r="M29" i="28" s="1"/>
  <c r="M26" i="28"/>
  <c r="K39" i="28"/>
  <c r="M81" i="26"/>
  <c r="M95" i="26" s="1"/>
  <c r="L95" i="26"/>
  <c r="L31" i="26"/>
  <c r="J44" i="26"/>
  <c r="J92" i="26"/>
  <c r="K41" i="26"/>
  <c r="I44" i="26"/>
  <c r="I50" i="26"/>
  <c r="I52" i="26" s="1"/>
  <c r="M30" i="26"/>
  <c r="M28" i="26"/>
  <c r="L36" i="26"/>
  <c r="L33" i="26"/>
  <c r="I94" i="26"/>
  <c r="I54" i="26"/>
  <c r="I55" i="26" s="1"/>
  <c r="J52" i="26"/>
  <c r="L29" i="26"/>
  <c r="K43" i="22"/>
  <c r="K45" i="22" s="1"/>
  <c r="K46" i="22" s="1"/>
  <c r="M35" i="22"/>
  <c r="M31" i="22"/>
  <c r="O33" i="22"/>
  <c r="O27" i="22"/>
  <c r="O18" i="22"/>
  <c r="O15" i="22"/>
  <c r="O21" i="22" s="1"/>
  <c r="O24" i="22"/>
  <c r="N30" i="22"/>
  <c r="N22" i="22"/>
  <c r="L40" i="22"/>
  <c r="L36" i="22"/>
  <c r="J15" i="15"/>
  <c r="F12" i="14" s="1"/>
  <c r="J8" i="15"/>
  <c r="J10" i="15"/>
  <c r="N13" i="16"/>
  <c r="L9" i="15" s="1"/>
  <c r="K9" i="15"/>
  <c r="N25" i="16"/>
  <c r="M28" i="16"/>
  <c r="M25" i="16"/>
  <c r="M19" i="16"/>
  <c r="M16" i="16"/>
  <c r="K40" i="28" l="1"/>
  <c r="K41" i="28" s="1"/>
  <c r="M34" i="28"/>
  <c r="M31" i="28"/>
  <c r="M27" i="28"/>
  <c r="N29" i="28"/>
  <c r="I50" i="28"/>
  <c r="J96" i="28"/>
  <c r="J48" i="28"/>
  <c r="J42" i="28"/>
  <c r="L39" i="28"/>
  <c r="M84" i="28"/>
  <c r="M75" i="28"/>
  <c r="M79" i="28" s="1"/>
  <c r="M100" i="28" s="1"/>
  <c r="N17" i="28"/>
  <c r="O15" i="28"/>
  <c r="O77" i="28"/>
  <c r="N76" i="28"/>
  <c r="N74" i="28"/>
  <c r="M31" i="26"/>
  <c r="L41" i="26"/>
  <c r="K42" i="26"/>
  <c r="K43" i="26" s="1"/>
  <c r="K92" i="26" s="1"/>
  <c r="M36" i="26"/>
  <c r="M33" i="26"/>
  <c r="M29" i="26"/>
  <c r="J94" i="26"/>
  <c r="J54" i="26"/>
  <c r="J55" i="26" s="1"/>
  <c r="L43" i="22"/>
  <c r="L45" i="22" s="1"/>
  <c r="L46" i="22" s="1"/>
  <c r="N35" i="22"/>
  <c r="N31" i="22"/>
  <c r="O30" i="22"/>
  <c r="O22" i="22"/>
  <c r="M40" i="22"/>
  <c r="M36" i="22"/>
  <c r="K15" i="15"/>
  <c r="G12" i="14" s="1"/>
  <c r="K10" i="15"/>
  <c r="K8" i="15"/>
  <c r="N28" i="16"/>
  <c r="O13" i="16"/>
  <c r="M9" i="15" s="1"/>
  <c r="N16" i="16"/>
  <c r="N22" i="16" s="1"/>
  <c r="N19" i="16"/>
  <c r="M22" i="16"/>
  <c r="O28" i="16"/>
  <c r="O16" i="16"/>
  <c r="O25" i="16"/>
  <c r="N84" i="28" l="1"/>
  <c r="N75" i="28"/>
  <c r="N79" i="28" s="1"/>
  <c r="N100" i="28" s="1"/>
  <c r="O17" i="28"/>
  <c r="P15" i="28"/>
  <c r="P77" i="28"/>
  <c r="O76" i="28"/>
  <c r="O74" i="28"/>
  <c r="O28" i="28"/>
  <c r="O29" i="28" s="1"/>
  <c r="O26" i="28"/>
  <c r="N26" i="28"/>
  <c r="L40" i="28"/>
  <c r="L41" i="28" s="1"/>
  <c r="J50" i="28"/>
  <c r="I98" i="28"/>
  <c r="I101" i="28" s="1"/>
  <c r="I109" i="28" s="1"/>
  <c r="I52" i="28"/>
  <c r="I53" i="28" s="1"/>
  <c r="M39" i="28"/>
  <c r="K96" i="28"/>
  <c r="K48" i="28"/>
  <c r="K42" i="28"/>
  <c r="M41" i="26"/>
  <c r="K44" i="26"/>
  <c r="K50" i="26"/>
  <c r="K52" i="26" s="1"/>
  <c r="L42" i="26"/>
  <c r="L43" i="26" s="1"/>
  <c r="L92" i="26" s="1"/>
  <c r="K94" i="26"/>
  <c r="K54" i="26"/>
  <c r="K55" i="26" s="1"/>
  <c r="M43" i="22"/>
  <c r="M45" i="22" s="1"/>
  <c r="M46" i="22" s="1"/>
  <c r="O35" i="22"/>
  <c r="O31" i="22"/>
  <c r="N40" i="22"/>
  <c r="N36" i="22"/>
  <c r="O19" i="16"/>
  <c r="M10" i="15"/>
  <c r="M15" i="15"/>
  <c r="I12" i="14" s="1"/>
  <c r="M8" i="15"/>
  <c r="M12" i="15" s="1"/>
  <c r="L8" i="15"/>
  <c r="L15" i="15"/>
  <c r="H12" i="14" s="1"/>
  <c r="L10" i="15"/>
  <c r="N23" i="16"/>
  <c r="O22" i="16"/>
  <c r="K50" i="28" l="1"/>
  <c r="M40" i="28"/>
  <c r="M41" i="28" s="1"/>
  <c r="J98" i="28"/>
  <c r="J101" i="28" s="1"/>
  <c r="J109" i="28" s="1"/>
  <c r="J52" i="28"/>
  <c r="J53" i="28" s="1"/>
  <c r="L96" i="28"/>
  <c r="L48" i="28"/>
  <c r="L42" i="28"/>
  <c r="N34" i="28"/>
  <c r="N31" i="28"/>
  <c r="N27" i="28"/>
  <c r="O34" i="28"/>
  <c r="O31" i="28"/>
  <c r="O27" i="28"/>
  <c r="O84" i="28"/>
  <c r="O75" i="28"/>
  <c r="O79" i="28" s="1"/>
  <c r="O100" i="28" s="1"/>
  <c r="P17" i="28"/>
  <c r="Q15" i="28"/>
  <c r="Q77" i="28"/>
  <c r="P76" i="28"/>
  <c r="P74" i="28"/>
  <c r="P28" i="28"/>
  <c r="P29" i="28" s="1"/>
  <c r="P26" i="28"/>
  <c r="L44" i="26"/>
  <c r="L50" i="26"/>
  <c r="L52" i="26" s="1"/>
  <c r="M42" i="26"/>
  <c r="M43" i="26" s="1"/>
  <c r="M92" i="26" s="1"/>
  <c r="L94" i="26"/>
  <c r="L54" i="26"/>
  <c r="L55" i="26" s="1"/>
  <c r="N43" i="22"/>
  <c r="N45" i="22" s="1"/>
  <c r="N46" i="22" s="1"/>
  <c r="O40" i="22"/>
  <c r="O36" i="22"/>
  <c r="L12" i="15"/>
  <c r="M13" i="15" s="1"/>
  <c r="I11" i="14" s="1"/>
  <c r="O23" i="16"/>
  <c r="P34" i="28" l="1"/>
  <c r="P31" i="28"/>
  <c r="P27" i="28"/>
  <c r="P84" i="28"/>
  <c r="P75" i="28"/>
  <c r="P79" i="28" s="1"/>
  <c r="P100" i="28" s="1"/>
  <c r="Q17" i="28"/>
  <c r="R15" i="28"/>
  <c r="R77" i="28"/>
  <c r="Q76" i="28"/>
  <c r="Q74" i="28"/>
  <c r="Q28" i="28"/>
  <c r="Q29" i="28" s="1"/>
  <c r="Q26" i="28"/>
  <c r="O39" i="28"/>
  <c r="N39" i="28"/>
  <c r="L50" i="28"/>
  <c r="M96" i="28"/>
  <c r="M48" i="28"/>
  <c r="M42" i="28"/>
  <c r="K98" i="28"/>
  <c r="K101" i="28" s="1"/>
  <c r="K109" i="28" s="1"/>
  <c r="K52" i="28"/>
  <c r="K53" i="28" s="1"/>
  <c r="M44" i="26"/>
  <c r="M50" i="26"/>
  <c r="M52" i="26" s="1"/>
  <c r="M94" i="26"/>
  <c r="M54" i="26"/>
  <c r="M55" i="26" s="1"/>
  <c r="O43" i="22"/>
  <c r="O45" i="22" s="1"/>
  <c r="O46" i="22" s="1"/>
  <c r="G22" i="16"/>
  <c r="H22" i="16"/>
  <c r="H31" i="16" s="1"/>
  <c r="H36" i="16" s="1"/>
  <c r="H37" i="16" s="1"/>
  <c r="I22" i="16"/>
  <c r="I31" i="16" s="1"/>
  <c r="I36" i="16" s="1"/>
  <c r="I37" i="16" s="1"/>
  <c r="J22" i="16"/>
  <c r="J31" i="16" s="1"/>
  <c r="F22" i="16"/>
  <c r="M50" i="28" l="1"/>
  <c r="L98" i="28"/>
  <c r="L101" i="28" s="1"/>
  <c r="L109" i="28" s="1"/>
  <c r="L52" i="28"/>
  <c r="L53" i="28" s="1"/>
  <c r="N40" i="28"/>
  <c r="N41" i="28" s="1"/>
  <c r="O40" i="28"/>
  <c r="O41" i="28" s="1"/>
  <c r="Q34" i="28"/>
  <c r="Q31" i="28"/>
  <c r="Q27" i="28"/>
  <c r="Q84" i="28"/>
  <c r="Q75" i="28"/>
  <c r="Q79" i="28" s="1"/>
  <c r="Q100" i="28" s="1"/>
  <c r="R17" i="28"/>
  <c r="R76" i="28"/>
  <c r="R74" i="28"/>
  <c r="R28" i="28"/>
  <c r="R29" i="28" s="1"/>
  <c r="R26" i="28"/>
  <c r="P39" i="28"/>
  <c r="J36" i="16"/>
  <c r="J37" i="16" s="1"/>
  <c r="L51" i="16"/>
  <c r="G23" i="16"/>
  <c r="G31" i="16"/>
  <c r="G36" i="16" s="1"/>
  <c r="G37" i="16" s="1"/>
  <c r="J23" i="16"/>
  <c r="J32" i="16"/>
  <c r="I23" i="16"/>
  <c r="I32" i="16"/>
  <c r="H23" i="16"/>
  <c r="H32" i="16"/>
  <c r="F23" i="16"/>
  <c r="F31" i="16"/>
  <c r="K12" i="15"/>
  <c r="L13" i="15" s="1"/>
  <c r="H11" i="14" s="1"/>
  <c r="J12" i="15"/>
  <c r="I12" i="15"/>
  <c r="H12" i="15"/>
  <c r="G12" i="15"/>
  <c r="F12" i="15"/>
  <c r="E12" i="15"/>
  <c r="D12" i="15"/>
  <c r="P40" i="28" l="1"/>
  <c r="P41" i="28" s="1"/>
  <c r="R34" i="28"/>
  <c r="R31" i="28"/>
  <c r="R27" i="28"/>
  <c r="R84" i="28"/>
  <c r="R75" i="28"/>
  <c r="R79" i="28" s="1"/>
  <c r="R100" i="28" s="1"/>
  <c r="Q39" i="28"/>
  <c r="O96" i="28"/>
  <c r="O48" i="28"/>
  <c r="O42" i="28"/>
  <c r="N96" i="28"/>
  <c r="N48" i="28"/>
  <c r="N42" i="28"/>
  <c r="M98" i="28"/>
  <c r="M101" i="28" s="1"/>
  <c r="M109" i="28" s="1"/>
  <c r="M52" i="28"/>
  <c r="M53" i="28" s="1"/>
  <c r="G32" i="16"/>
  <c r="F32" i="16"/>
  <c r="F36" i="16"/>
  <c r="F37" i="16" s="1"/>
  <c r="E13" i="15"/>
  <c r="I13" i="15"/>
  <c r="E11" i="14" s="1"/>
  <c r="G13" i="15"/>
  <c r="F13" i="15"/>
  <c r="K13" i="15"/>
  <c r="G11" i="14" s="1"/>
  <c r="J13" i="15"/>
  <c r="F11" i="14" s="1"/>
  <c r="H13" i="15"/>
  <c r="N50" i="28" l="1"/>
  <c r="O50" i="28"/>
  <c r="Q40" i="28"/>
  <c r="Q41" i="28" s="1"/>
  <c r="R39" i="28"/>
  <c r="P96" i="28"/>
  <c r="P48" i="28"/>
  <c r="P42" i="28"/>
  <c r="N31" i="16"/>
  <c r="H8" i="14" s="1"/>
  <c r="M31" i="16"/>
  <c r="G8" i="14" s="1"/>
  <c r="L60" i="4"/>
  <c r="K60" i="4"/>
  <c r="J60" i="4"/>
  <c r="I60" i="4"/>
  <c r="H60" i="4"/>
  <c r="H61" i="4" s="1"/>
  <c r="G60" i="4"/>
  <c r="F60" i="4"/>
  <c r="E60" i="4"/>
  <c r="F61" i="4" s="1"/>
  <c r="H32" i="4"/>
  <c r="L29" i="4"/>
  <c r="K29" i="4"/>
  <c r="J29" i="4"/>
  <c r="I29" i="4"/>
  <c r="H29" i="4"/>
  <c r="G29" i="4"/>
  <c r="F29" i="4"/>
  <c r="E29" i="4"/>
  <c r="L28" i="4"/>
  <c r="K28" i="4"/>
  <c r="J28" i="4"/>
  <c r="I28" i="4"/>
  <c r="H28" i="4"/>
  <c r="G28" i="4"/>
  <c r="F28" i="4"/>
  <c r="E28" i="4"/>
  <c r="L27" i="4"/>
  <c r="K27" i="4"/>
  <c r="E27" i="4"/>
  <c r="I25" i="4"/>
  <c r="H25" i="4"/>
  <c r="G25" i="4"/>
  <c r="F25" i="4"/>
  <c r="E25" i="4"/>
  <c r="L24" i="4"/>
  <c r="L25" i="4" s="1"/>
  <c r="K24" i="4"/>
  <c r="K25" i="4" s="1"/>
  <c r="F21" i="4"/>
  <c r="G21" i="4" s="1"/>
  <c r="F27" i="4"/>
  <c r="P50" i="28" l="1"/>
  <c r="R40" i="28"/>
  <c r="R41" i="28" s="1"/>
  <c r="Q96" i="28"/>
  <c r="Q48" i="28"/>
  <c r="Q42" i="28"/>
  <c r="O98" i="28"/>
  <c r="O101" i="28" s="1"/>
  <c r="O109" i="28" s="1"/>
  <c r="O52" i="28"/>
  <c r="O53" i="28" s="1"/>
  <c r="N98" i="28"/>
  <c r="N101" i="28" s="1"/>
  <c r="N109" i="28" s="1"/>
  <c r="N52" i="28"/>
  <c r="N53" i="28" s="1"/>
  <c r="J61" i="4"/>
  <c r="H21" i="4"/>
  <c r="G27" i="4"/>
  <c r="G61" i="4"/>
  <c r="K61" i="4"/>
  <c r="L61" i="4"/>
  <c r="O31" i="16"/>
  <c r="I8" i="14" s="1"/>
  <c r="I61" i="4"/>
  <c r="N36" i="16"/>
  <c r="N32" i="16"/>
  <c r="H27" i="4"/>
  <c r="I21" i="4"/>
  <c r="Q50" i="28" l="1"/>
  <c r="R96" i="28"/>
  <c r="R48" i="28"/>
  <c r="R42" i="28"/>
  <c r="P98" i="28"/>
  <c r="P101" i="28" s="1"/>
  <c r="P109" i="28" s="1"/>
  <c r="P52" i="28"/>
  <c r="P53" i="28" s="1"/>
  <c r="O36" i="16"/>
  <c r="O32" i="16"/>
  <c r="N37" i="16"/>
  <c r="I27" i="4"/>
  <c r="J21" i="4"/>
  <c r="R50" i="28" l="1"/>
  <c r="Q98" i="28"/>
  <c r="Q101" i="28" s="1"/>
  <c r="Q109" i="28" s="1"/>
  <c r="Q52" i="28"/>
  <c r="Q53" i="28" s="1"/>
  <c r="O37" i="16"/>
  <c r="J24" i="4"/>
  <c r="J25" i="4" s="1"/>
  <c r="J27" i="4"/>
  <c r="R98" i="28" l="1"/>
  <c r="R101" i="28" s="1"/>
  <c r="R52" i="28"/>
  <c r="R53" i="28" s="1"/>
  <c r="K22" i="16"/>
  <c r="K31" i="16" s="1"/>
  <c r="E8" i="14" s="1"/>
  <c r="R109" i="28" l="1"/>
  <c r="R103" i="28"/>
  <c r="R105" i="28" s="1"/>
  <c r="K36" i="16"/>
  <c r="M23" i="16"/>
  <c r="K23" i="16"/>
  <c r="L22" i="16"/>
  <c r="L31" i="16" s="1"/>
  <c r="F8" i="14" s="1"/>
  <c r="E113" i="28" l="1"/>
  <c r="E115" i="28" s="1"/>
  <c r="M36" i="16"/>
  <c r="M32" i="16"/>
  <c r="K32" i="16"/>
  <c r="L23" i="16"/>
  <c r="M37" i="16" l="1"/>
  <c r="K37" i="16"/>
  <c r="L36" i="16"/>
  <c r="L32" i="16"/>
  <c r="L37" i="16" l="1"/>
  <c r="O39" i="16" l="1"/>
  <c r="I9" i="14" s="1"/>
  <c r="L39" i="16"/>
  <c r="F9" i="14" s="1"/>
  <c r="M39" i="16"/>
  <c r="G9" i="14" s="1"/>
  <c r="N39" i="16"/>
  <c r="H9" i="14" s="1"/>
  <c r="K39" i="16"/>
  <c r="E9" i="14" s="1"/>
  <c r="L41" i="16" l="1"/>
  <c r="L44" i="16" s="1"/>
  <c r="F10" i="14" s="1"/>
  <c r="M41" i="16"/>
  <c r="M44" i="16" s="1"/>
  <c r="G10" i="14" s="1"/>
  <c r="G13" i="14" s="1"/>
  <c r="G8" i="13" s="1"/>
  <c r="G10" i="13" s="1"/>
  <c r="O41" i="16"/>
  <c r="O44" i="16" s="1"/>
  <c r="I10" i="14" s="1"/>
  <c r="I13" i="14" s="1"/>
  <c r="I8" i="13" s="1"/>
  <c r="I12" i="13" s="1"/>
  <c r="I14" i="13" s="1"/>
  <c r="K41" i="16"/>
  <c r="K44" i="16" s="1"/>
  <c r="E10" i="14" s="1"/>
  <c r="E13" i="14" s="1"/>
  <c r="E8" i="13" s="1"/>
  <c r="E10" i="13" s="1"/>
  <c r="F13" i="14"/>
  <c r="F8" i="13" s="1"/>
  <c r="F10" i="13" s="1"/>
  <c r="N41" i="16"/>
  <c r="N44" i="16" s="1"/>
  <c r="O46" i="16"/>
  <c r="O47" i="16" s="1"/>
  <c r="L46" i="16" l="1"/>
  <c r="L47" i="16" s="1"/>
  <c r="K46" i="16"/>
  <c r="K47" i="16" s="1"/>
  <c r="I10" i="13"/>
  <c r="N46" i="16"/>
  <c r="N47" i="16" s="1"/>
  <c r="H10" i="14"/>
  <c r="H13" i="14" s="1"/>
  <c r="H8" i="13" s="1"/>
  <c r="H10" i="13" s="1"/>
  <c r="M46" i="16"/>
  <c r="M47" i="16" s="1"/>
  <c r="D20" i="13" l="1"/>
  <c r="D22" i="13" s="1"/>
  <c r="N15" i="26"/>
  <c r="N76" i="26" l="1"/>
  <c r="N77" i="26"/>
  <c r="N30" i="26"/>
  <c r="O15" i="26"/>
  <c r="O77" i="26" s="1"/>
  <c r="N17" i="26"/>
  <c r="O76" i="26" l="1"/>
  <c r="N79" i="26"/>
  <c r="N31" i="26"/>
  <c r="N28" i="26"/>
  <c r="O30" i="26"/>
  <c r="P15" i="26"/>
  <c r="O17" i="26"/>
  <c r="N36" i="26"/>
  <c r="N33" i="26"/>
  <c r="N29" i="26"/>
  <c r="P76" i="26" l="1"/>
  <c r="P77" i="26"/>
  <c r="O31" i="26"/>
  <c r="N41" i="26"/>
  <c r="O28" i="26"/>
  <c r="P30" i="26"/>
  <c r="Q15" i="26"/>
  <c r="P17" i="26"/>
  <c r="O36" i="26"/>
  <c r="O33" i="26"/>
  <c r="O29" i="26"/>
  <c r="Q76" i="26" l="1"/>
  <c r="Q77" i="26"/>
  <c r="P31" i="26"/>
  <c r="O41" i="26"/>
  <c r="N42" i="26"/>
  <c r="N43" i="26" s="1"/>
  <c r="N92" i="26" s="1"/>
  <c r="P28" i="26"/>
  <c r="Q30" i="26"/>
  <c r="R15" i="26"/>
  <c r="Q17" i="26"/>
  <c r="P29" i="26"/>
  <c r="P33" i="26"/>
  <c r="P36" i="26"/>
  <c r="R76" i="26" l="1"/>
  <c r="R77" i="26"/>
  <c r="Q31" i="26"/>
  <c r="P41" i="26"/>
  <c r="N44" i="26"/>
  <c r="N50" i="26"/>
  <c r="N52" i="26" s="1"/>
  <c r="O42" i="26"/>
  <c r="O43" i="26" s="1"/>
  <c r="O92" i="26" s="1"/>
  <c r="Q28" i="26"/>
  <c r="R17" i="26"/>
  <c r="R28" i="26" s="1"/>
  <c r="R30" i="26"/>
  <c r="N94" i="26"/>
  <c r="N54" i="26"/>
  <c r="N55" i="26" s="1"/>
  <c r="Q33" i="26"/>
  <c r="Q29" i="26"/>
  <c r="Q36" i="26"/>
  <c r="R31" i="26" l="1"/>
  <c r="Q41" i="26"/>
  <c r="O44" i="26"/>
  <c r="O50" i="26"/>
  <c r="P42" i="26"/>
  <c r="P43" i="26" s="1"/>
  <c r="P92" i="26" s="1"/>
  <c r="R33" i="26"/>
  <c r="R29" i="26"/>
  <c r="R36" i="26"/>
  <c r="R41" i="26" s="1"/>
  <c r="R42" i="26" l="1"/>
  <c r="R43" i="26" s="1"/>
  <c r="P44" i="26"/>
  <c r="P50" i="26"/>
  <c r="P52" i="26" s="1"/>
  <c r="O52" i="26"/>
  <c r="O94" i="26" s="1"/>
  <c r="O54" i="26"/>
  <c r="O55" i="26" s="1"/>
  <c r="Q42" i="26"/>
  <c r="Q43" i="26" s="1"/>
  <c r="Q92" i="26" s="1"/>
  <c r="R50" i="26"/>
  <c r="P94" i="26"/>
  <c r="P54" i="26"/>
  <c r="P55" i="26" s="1"/>
  <c r="R44" i="26" l="1"/>
  <c r="R92" i="26"/>
  <c r="Q44" i="26"/>
  <c r="Q50" i="26"/>
  <c r="Q52" i="26" s="1"/>
  <c r="R52" i="26"/>
  <c r="R94" i="26" s="1"/>
  <c r="R54" i="26"/>
  <c r="R55" i="26" s="1"/>
  <c r="Q94" i="26"/>
  <c r="Q54" i="26"/>
  <c r="Q55" i="26" s="1"/>
  <c r="J96" i="26"/>
  <c r="J97" i="26"/>
  <c r="J105" i="26"/>
  <c r="K79" i="26"/>
  <c r="K96" i="26"/>
  <c r="K97" i="26"/>
  <c r="K105" i="26"/>
  <c r="L79" i="26"/>
  <c r="L96" i="26"/>
  <c r="L97" i="26"/>
  <c r="L105" i="26"/>
  <c r="M79" i="26"/>
  <c r="M96" i="26"/>
  <c r="M97" i="26"/>
  <c r="M105" i="26"/>
  <c r="N96" i="26"/>
  <c r="N97" i="26"/>
  <c r="N105" i="26"/>
  <c r="O79" i="26"/>
  <c r="O96" i="26"/>
  <c r="O97" i="26"/>
  <c r="O105" i="26"/>
  <c r="P79" i="26"/>
  <c r="P96" i="26"/>
  <c r="P97" i="26"/>
  <c r="P105" i="26"/>
  <c r="Q79" i="26"/>
  <c r="Q96" i="26"/>
  <c r="Q97" i="26"/>
  <c r="Q105" i="26"/>
  <c r="R79" i="26"/>
  <c r="R96" i="26"/>
  <c r="R97" i="26"/>
  <c r="R99" i="26" s="1"/>
  <c r="R101" i="26" s="1"/>
  <c r="R105" i="26"/>
  <c r="I79" i="26"/>
  <c r="I96" i="26"/>
  <c r="I97" i="26"/>
  <c r="I105" i="26"/>
  <c r="E109" i="26"/>
  <c r="E1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3" authorId="0" shapeId="0" xr:uid="{D70A0900-2404-4BE7-96F1-91ABE349E357}">
      <text>
        <r>
          <rPr>
            <sz val="9"/>
            <color rgb="FF000000"/>
            <rFont val="Tahoma"/>
            <family val="2"/>
          </rPr>
          <t>Use historical data, market analysis, and any other available information to make revenue forecasts.</t>
        </r>
      </text>
    </comment>
    <comment ref="C31" authorId="0" shapeId="0" xr:uid="{EEDD0267-9092-4700-AA83-3459BCDF7B66}">
      <text>
        <r>
          <rPr>
            <sz val="9"/>
            <color rgb="FF000000"/>
            <rFont val="Tahoma"/>
            <family val="2"/>
          </rPr>
          <t>Some expense items may move in line with revenue, while others may have different patterns. You should use your judgment and historical data to estimate future cost items.</t>
        </r>
      </text>
    </comment>
    <comment ref="C34" authorId="0" shapeId="0" xr:uid="{33A44082-720E-455F-AEC8-1AED0F23392D}">
      <text>
        <r>
          <rPr>
            <sz val="9"/>
            <color rgb="FF000000"/>
            <rFont val="Tahoma"/>
            <family val="2"/>
          </rPr>
          <t>You can estimate D&amp;A based on historical Capex figures, assuming a time lag, or you can request a PP&amp;E schedule from the sell-side advisors.</t>
        </r>
      </text>
    </comment>
    <comment ref="C44" authorId="0" shapeId="0" xr:uid="{CA59CD61-CA84-465D-B0CC-1181E2327487}">
      <text>
        <r>
          <rPr>
            <sz val="9"/>
            <color rgb="FF000000"/>
            <rFont val="Tahoma"/>
            <family val="2"/>
          </rPr>
          <t>Assume a 15% corporate tax rate for Germany.</t>
        </r>
      </text>
    </comment>
    <comment ref="C51" authorId="0" shapeId="0" xr:uid="{24D69D74-7387-4BBA-B119-280CE375B8BE}">
      <text>
        <r>
          <rPr>
            <sz val="9"/>
            <color rgb="FF000000"/>
            <rFont val="Tahoma"/>
            <family val="2"/>
          </rPr>
          <t>Once the DCM deadline has passed, you will see debt financing packages available. Select the debt amount and interest rate of the financing package you're selecting.</t>
        </r>
      </text>
    </comment>
    <comment ref="C55" authorId="0" shapeId="0" xr:uid="{A0EF16B6-A1FB-4F89-A21C-7A28BC03CF0A}">
      <text>
        <r>
          <rPr>
            <sz val="9"/>
            <color rgb="FF000000"/>
            <rFont val="Tahoma"/>
            <family val="2"/>
          </rPr>
          <t xml:space="preserve">Assume the reference rate is Euribor. Google the current 3-month Euribor rate and enter it here.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6" authorId="0" shapeId="0" xr:uid="{E665E3BB-BE5A-448E-AC09-B01DD4C16D80}">
      <text>
        <r>
          <rPr>
            <sz val="9"/>
            <color indexed="81"/>
            <rFont val="Tahoma"/>
            <family val="2"/>
          </rPr>
          <t xml:space="preserve">For most PE firms, the minimum required rate of return is currently around 15%, which is the IRR target. Ideally, your submitted EV bid should not imply an IRR of less than 15%. Therefore, your discount rate should be set at 15%. </t>
        </r>
      </text>
    </comment>
    <comment ref="C18" authorId="0" shapeId="0" xr:uid="{246F6EB8-271C-4654-9DAE-5CA8AC09545B}">
      <text>
        <r>
          <rPr>
            <sz val="9"/>
            <color indexed="81"/>
            <rFont val="Tahoma"/>
            <family val="2"/>
          </rPr>
          <t>The terminal value growth rate is typically set in line with the expected long-term growth rate of the economy or the industry. Commonly used rates range from 2% to 4%. Use your judgement.</t>
        </r>
      </text>
    </comment>
    <comment ref="C21" authorId="0" shapeId="0" xr:uid="{CF8F3960-A63B-49E6-992B-1041F3C43188}">
      <text>
        <r>
          <rPr>
            <sz val="9"/>
            <color indexed="81"/>
            <rFont val="Tahoma"/>
            <family val="2"/>
          </rPr>
          <t xml:space="preserve">Insert here the TLB (Term Loan B) loan amount that you select, subtracting the company's cash.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3" authorId="0" shapeId="0" xr:uid="{54C4529F-43CE-470C-B7E8-C60238B1D64A}">
      <text>
        <r>
          <rPr>
            <sz val="9"/>
            <color indexed="81"/>
            <rFont val="Tahoma"/>
            <family val="2"/>
          </rPr>
          <t>Assess the realism of the company's planned WC optimization based on historical data.</t>
        </r>
      </text>
    </comment>
    <comment ref="C15" authorId="0" shapeId="0" xr:uid="{BB5AE268-3885-4F7E-A291-4BCD52E82D57}">
      <text>
        <r>
          <rPr>
            <sz val="9"/>
            <color indexed="81"/>
            <rFont val="Tahoma"/>
            <family val="2"/>
          </rPr>
          <t>Utilize historical data as a reference to evaluate whether the company's future plans are likely to necessitate additional capex.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3" authorId="0" shapeId="0" xr:uid="{EAEFDF84-E1E5-4AED-BC74-1CBAAB303E57}">
      <text>
        <r>
          <rPr>
            <sz val="9"/>
            <color indexed="81"/>
            <rFont val="Tahoma"/>
            <family val="2"/>
          </rPr>
          <t>Verify that the signs are correct to ensure that cash expenses and other cash outflows are subtracted from EBITDA.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6" authorId="0" shapeId="0" xr:uid="{D93B2BB9-0CCD-449D-BD73-04159CE591D5}">
      <text>
        <r>
          <rPr>
            <sz val="9"/>
            <color rgb="FF000000"/>
            <rFont val="Tahoma"/>
            <family val="2"/>
          </rPr>
          <t xml:space="preserve">For most PE firms, the minimum required rate of return is currently around 15%, which is the IRR target. Ideally, your submitted EV bid should not imply an IRR of less than 15%. Therefore, your discount rate should be set at 15%. </t>
        </r>
      </text>
    </comment>
    <comment ref="C18" authorId="0" shapeId="0" xr:uid="{00558819-14C4-4293-91B7-00A9497506B7}">
      <text>
        <r>
          <rPr>
            <sz val="9"/>
            <color rgb="FF000000"/>
            <rFont val="Tahoma"/>
            <family val="2"/>
          </rPr>
          <t>The terminal value growth rate is typically set in line with the expected long-term growth rate of the economy or the industry. Commonly used rates range from 2% to 4%. Use your judgement.</t>
        </r>
      </text>
    </comment>
    <comment ref="C21" authorId="0" shapeId="0" xr:uid="{03F615D6-B2E8-4B36-8989-E9A964A03241}">
      <text>
        <r>
          <rPr>
            <sz val="9"/>
            <color rgb="FF000000"/>
            <rFont val="Tahoma"/>
            <family val="2"/>
          </rPr>
          <t xml:space="preserve">Insert here the TLB (Term Loan B) loan amount that you select, subtracting the company's cash.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28" authorId="0" shapeId="0" xr:uid="{14F61E08-588A-4B63-ABA9-CBCE278EAD41}">
      <text>
        <r>
          <rPr>
            <sz val="9"/>
            <color rgb="FF000000"/>
            <rFont val="Tahoma"/>
            <family val="2"/>
          </rPr>
          <t>Use historical data, the ODD report, and available Sell-Side information to make revenue forecasts.</t>
        </r>
      </text>
    </comment>
    <comment ref="C43" authorId="0" shapeId="0" xr:uid="{B5FC0315-C023-40CD-88F7-860B25F3CC70}">
      <text>
        <r>
          <rPr>
            <sz val="9"/>
            <color rgb="FF000000"/>
            <rFont val="Tahoma"/>
            <family val="2"/>
          </rPr>
          <t>Some expense items may move in line with revenue, while others may have different patterns. You should use your judgment and historical data to estimate future cost items.</t>
        </r>
      </text>
    </comment>
    <comment ref="C48" authorId="0" shapeId="0" xr:uid="{5E2D9DBE-5B09-4C54-BF48-44C242724513}">
      <text>
        <r>
          <rPr>
            <sz val="9"/>
            <color rgb="FF000000"/>
            <rFont val="Tahoma"/>
            <family val="2"/>
          </rPr>
          <t>You can estimate D&amp;A based on historical Capex figures, assuming a time lag, or you can request a FF&amp;E information from the sell-side advisors.</t>
        </r>
      </text>
    </comment>
    <comment ref="C52" authorId="0" shapeId="0" xr:uid="{3392322B-EB63-4AA7-BB38-0F88EA18C5F8}">
      <text>
        <r>
          <rPr>
            <sz val="9"/>
            <color rgb="FF000000"/>
            <rFont val="Tahoma"/>
            <family val="2"/>
          </rPr>
          <t>Assume 24% as the Italian corporate tax rate.</t>
        </r>
      </text>
    </comment>
    <comment ref="C59" authorId="0" shapeId="0" xr:uid="{2BC0DD89-BCBF-4D8C-8441-531915F23669}">
      <text>
        <r>
          <rPr>
            <sz val="9"/>
            <color indexed="81"/>
            <rFont val="Tahoma"/>
            <family val="2"/>
          </rPr>
          <t>Once the DCM deadline has passed, you will see debt financing packages available. Select the debt amount and interest rate of the financing package you're selecting.</t>
        </r>
      </text>
    </comment>
    <comment ref="C63" authorId="0" shapeId="0" xr:uid="{54413A75-2AE1-4A80-84D7-215A8ED342A8}">
      <text>
        <r>
          <rPr>
            <sz val="9"/>
            <color indexed="81"/>
            <rFont val="Tahoma"/>
            <family val="2"/>
          </rPr>
          <t xml:space="preserve">Assume the reference rate is Euribor. Google the current 3-month Euribor rate and enter it here.
</t>
        </r>
      </text>
    </comment>
    <comment ref="C76" authorId="0" shapeId="0" xr:uid="{3503DC76-17C4-44A9-AF23-F14E3D9B59A0}">
      <text>
        <r>
          <rPr>
            <sz val="9"/>
            <color rgb="FF000000"/>
            <rFont val="Tahoma"/>
            <family val="2"/>
          </rPr>
          <t>Growth Capex should be based on the expansion of the hotel quantity. Calculate the annual increase in the number of new hotels and multiply it by the cost of establishing a new hotel to determine Growth Capex.</t>
        </r>
      </text>
    </comment>
    <comment ref="C77" authorId="0" shapeId="0" xr:uid="{6E4C06B5-2455-4AB2-81F2-FDD940176495}">
      <text>
        <r>
          <rPr>
            <sz val="9"/>
            <color indexed="81"/>
            <rFont val="Tahoma"/>
            <family val="2"/>
          </rPr>
          <t>Use historical data as a reference to evaluate whether the company's future plans are likely to necessitate additional maintenance Capex. Estimate future expenses by examining historical costs and the quantity of hotels.</t>
        </r>
      </text>
    </comment>
    <comment ref="C81" authorId="0" shapeId="0" xr:uid="{176C8032-A07C-414B-B2AC-532C4F995CF0}">
      <text>
        <r>
          <rPr>
            <sz val="9"/>
            <color indexed="81"/>
            <rFont val="Tahoma"/>
            <family val="2"/>
          </rPr>
          <t>Assess the realism of the company's planned WC optimization based on historical data.</t>
        </r>
      </text>
    </comment>
    <comment ref="C97" authorId="0" shapeId="0" xr:uid="{E3E9D08E-0098-4521-8964-B72CF43CC5E1}">
      <text>
        <r>
          <rPr>
            <sz val="9"/>
            <color indexed="81"/>
            <rFont val="Tahoma"/>
            <family val="2"/>
          </rPr>
          <t>Verify that the signs are correct to ensure that cash expenses and other cash outflows are subtracted from EBITDA.</t>
        </r>
      </text>
    </comment>
    <comment ref="C99" authorId="0" shapeId="0" xr:uid="{03D4FA91-0BA6-494C-B8BD-BC006C048E97}">
      <text>
        <r>
          <rPr>
            <sz val="9"/>
            <color indexed="81"/>
            <rFont val="Tahoma"/>
            <family val="2"/>
          </rPr>
          <t xml:space="preserve">For most PE firms, the minimum required rate of return is currently around 15%, which is the IRR target. Ideally, your submitted EV bid should not imply an IRR of less than 15%. Therefore, your discount rate should be set at 15%. </t>
        </r>
      </text>
    </comment>
    <comment ref="C100" authorId="0" shapeId="0" xr:uid="{F4B15A5E-7AEA-4D6D-9C9E-FC097441E3FE}">
      <text>
        <r>
          <rPr>
            <sz val="9"/>
            <color indexed="81"/>
            <rFont val="Tahoma"/>
            <family val="2"/>
          </rPr>
          <t>The terminal value growth rate is typically set in line with the expected long-term growth rate of the economy or the industry. Commonly used rates range from 2% to 4%. Use your judgement.</t>
        </r>
      </text>
    </comment>
    <comment ref="C110" authorId="0" shapeId="0" xr:uid="{1C436BDA-BA80-4253-B58A-427BF3D3CCDF}">
      <text>
        <r>
          <rPr>
            <sz val="9"/>
            <color indexed="81"/>
            <rFont val="Tahoma"/>
            <family val="2"/>
          </rPr>
          <t xml:space="preserve">Insert here the TLB (Term Loan B) loan amount that you select, subtracting the company's cash.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26" authorId="0" shapeId="0" xr:uid="{83A302DE-7974-4C49-8876-0C8C62D24A48}">
      <text>
        <r>
          <rPr>
            <sz val="9"/>
            <color rgb="FF000000"/>
            <rFont val="Tahoma"/>
            <family val="2"/>
          </rPr>
          <t>Use historical data, the ODD report, and available Sell-Side information to make revenue forecasts.</t>
        </r>
      </text>
    </comment>
    <comment ref="C41" authorId="0" shapeId="0" xr:uid="{F1C5979B-4D08-443D-B8F8-611DAF334BD1}">
      <text>
        <r>
          <rPr>
            <sz val="9"/>
            <color rgb="FF000000"/>
            <rFont val="Tahoma"/>
            <family val="2"/>
          </rPr>
          <t>Some expense items may move in line with revenue, while others may have different patterns. You should use your judgment and historical data to estimate future cost items.</t>
        </r>
      </text>
    </comment>
    <comment ref="C46" authorId="0" shapeId="0" xr:uid="{B602D3F6-C288-48D4-87AC-7B51C2988DA1}">
      <text>
        <r>
          <rPr>
            <sz val="9"/>
            <color rgb="FF000000"/>
            <rFont val="Tahoma"/>
            <family val="2"/>
          </rPr>
          <t>You can estimate D&amp;A based on historical Capex figures, assuming a time lag, or you can request a FF&amp;E information from the sell-side advisors.</t>
        </r>
      </text>
    </comment>
    <comment ref="C50" authorId="0" shapeId="0" xr:uid="{C09DFF9B-2EA4-4FDC-B56D-4FB1C8DFD6E8}">
      <text>
        <r>
          <rPr>
            <sz val="9"/>
            <color rgb="FF000000"/>
            <rFont val="Tahoma"/>
            <family val="2"/>
          </rPr>
          <t>Assume 24% as the Italian corporate tax rate.</t>
        </r>
      </text>
    </comment>
    <comment ref="C57" authorId="0" shapeId="0" xr:uid="{7B4C5289-FEAB-4AFE-A989-2599CC88A3F6}">
      <text>
        <r>
          <rPr>
            <sz val="9"/>
            <color indexed="81"/>
            <rFont val="Tahoma"/>
            <family val="2"/>
          </rPr>
          <t>Once the DCM deadline has passed, you will see debt financing packages available. Select the debt amount and interest rate of the financing package you're selecting.</t>
        </r>
      </text>
    </comment>
    <comment ref="C61" authorId="0" shapeId="0" xr:uid="{486E969B-D9B0-41B9-B434-6008D7254C80}">
      <text>
        <r>
          <rPr>
            <sz val="9"/>
            <color indexed="81"/>
            <rFont val="Tahoma"/>
            <family val="2"/>
          </rPr>
          <t xml:space="preserve">Assume the reference rate is Euribor. Google the current 3-month Euribor rate and enter it here.
</t>
        </r>
      </text>
    </comment>
    <comment ref="C74" authorId="0" shapeId="0" xr:uid="{412D6D68-44EB-47C1-A5D7-26D77A18A63A}">
      <text>
        <r>
          <rPr>
            <sz val="9"/>
            <color rgb="FF000000"/>
            <rFont val="Tahoma"/>
            <family val="2"/>
          </rPr>
          <t>Growth Capex should be based on the expansion of the hotel quantity. Calculate the annual increase in the number of new hotels and multiply it by the cost of establishing a new hotel to determine Growth Capex.</t>
        </r>
      </text>
    </comment>
    <comment ref="C75" authorId="0" shapeId="0" xr:uid="{FBB11343-33F7-443C-B7CB-84AF68B86802}">
      <text>
        <r>
          <rPr>
            <sz val="9"/>
            <color indexed="81"/>
            <rFont val="Tahoma"/>
            <family val="2"/>
          </rPr>
          <t>Use historical data as a reference to evaluate whether the company's future plans are likely to necessitate additional maintenance Capex. Estimate future expenses by examining historical costs and the quantity of hotels.</t>
        </r>
      </text>
    </comment>
    <comment ref="C81" authorId="0" shapeId="0" xr:uid="{001FBF81-8941-48D4-A9CC-3796D6F360DA}">
      <text>
        <r>
          <rPr>
            <sz val="9"/>
            <color indexed="81"/>
            <rFont val="Tahoma"/>
            <family val="2"/>
          </rPr>
          <t>Assess the realism of the company's planned WC optimization based on historical data.</t>
        </r>
      </text>
    </comment>
    <comment ref="C101" authorId="0" shapeId="0" xr:uid="{D81413D0-629B-4767-A291-4F2270B3763D}">
      <text>
        <r>
          <rPr>
            <sz val="9"/>
            <color indexed="81"/>
            <rFont val="Tahoma"/>
            <family val="2"/>
          </rPr>
          <t>Verify that the signs are correct to ensure that cash expenses and other cash outflows are subtracted from EBITDA.</t>
        </r>
      </text>
    </comment>
    <comment ref="C103" authorId="0" shapeId="0" xr:uid="{348A2415-FB59-43CE-9EDF-9258413788E3}">
      <text>
        <r>
          <rPr>
            <sz val="9"/>
            <color indexed="81"/>
            <rFont val="Tahoma"/>
            <family val="2"/>
          </rPr>
          <t xml:space="preserve">For most PE firms, the minimum required rate of return is currently around 15%, which is the IRR target. Ideally, your submitted EV bid should not imply an IRR of less than 15%. Therefore, your discount rate should be set at 15%. </t>
        </r>
      </text>
    </comment>
    <comment ref="C104" authorId="0" shapeId="0" xr:uid="{20A1C65E-D0CC-4E5C-9513-F789992F23F9}">
      <text>
        <r>
          <rPr>
            <sz val="9"/>
            <color indexed="81"/>
            <rFont val="Tahoma"/>
            <family val="2"/>
          </rPr>
          <t>The terminal value growth rate is typically set in line with the expected long-term growth rate of the economy or the industry. Commonly used rates range from 2% to 4%. Use your judgement.</t>
        </r>
      </text>
    </comment>
    <comment ref="C114" authorId="0" shapeId="0" xr:uid="{7A4E5296-0F85-4655-B2AD-AFDA170BB9FC}">
      <text>
        <r>
          <rPr>
            <sz val="9"/>
            <color indexed="81"/>
            <rFont val="Tahoma"/>
            <family val="2"/>
          </rPr>
          <t xml:space="preserve">Insert here the TLB (Term Loan B) loan amount that you select, subtracting the company's cash.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2" authorId="0" shapeId="0" xr:uid="{D4297FF5-855D-4481-A5BE-479C6FFF1246}">
      <text>
        <r>
          <rPr>
            <sz val="9"/>
            <color indexed="81"/>
            <rFont val="Tahoma"/>
            <family val="2"/>
          </rPr>
          <t>Use historical data, market reports, and available Sell-Side information to make revenue forecasts.</t>
        </r>
      </text>
    </comment>
    <comment ref="C30" authorId="0" shapeId="0" xr:uid="{C1345BEA-A68D-44B2-B9E8-B861A52AD17B}">
      <text>
        <r>
          <rPr>
            <sz val="9"/>
            <color indexed="81"/>
            <rFont val="Tahoma"/>
            <family val="2"/>
          </rPr>
          <t>Some expense items may move in line with revenue, while others may have different patterns. You should use your judgment and historical data to estimate future cost items.</t>
        </r>
      </text>
    </comment>
    <comment ref="C33" authorId="0" shapeId="0" xr:uid="{CD6F0C94-2642-4A2D-99F6-8682C0C8E1F4}">
      <text>
        <r>
          <rPr>
            <sz val="9"/>
            <color indexed="81"/>
            <rFont val="Tahoma"/>
            <family val="2"/>
          </rPr>
          <t>You can estimate D&amp;A based on historical Capex figures, assuming a time lag, or you can request PP&amp;E information from the sell-side advisors.</t>
        </r>
      </text>
    </comment>
    <comment ref="C43" authorId="0" shapeId="0" xr:uid="{FC2D890C-87FF-4D25-A04A-2DE532A2D0A8}">
      <text>
        <r>
          <rPr>
            <sz val="9"/>
            <color indexed="81"/>
            <rFont val="Tahoma"/>
            <family val="2"/>
          </rPr>
          <t>Assume a 22% corporate tax rate for Norway.</t>
        </r>
      </text>
    </comment>
    <comment ref="C50" authorId="0" shapeId="0" xr:uid="{E4CB23D9-D9E8-4EE9-BD63-53125B4A71B7}">
      <text>
        <r>
          <rPr>
            <sz val="9"/>
            <color indexed="81"/>
            <rFont val="Tahoma"/>
            <family val="2"/>
          </rPr>
          <t>Once the DCM deadline has passed, you will see debt financing packages available. Select the debt amount and interest rate of the financing package you're selecting.</t>
        </r>
      </text>
    </comment>
    <comment ref="C54" authorId="0" shapeId="0" xr:uid="{EE9910AA-9DFF-4DBC-9C75-DEF0841C93DD}">
      <text>
        <r>
          <rPr>
            <sz val="9"/>
            <color indexed="81"/>
            <rFont val="Tahoma"/>
            <family val="2"/>
          </rPr>
          <t xml:space="preserve">Assume the reference rate is Euribor. Google the current 3-month Euribor rate and enter it here.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3" authorId="0" shapeId="0" xr:uid="{8BE26A8C-BC9F-44EE-8A42-A2614D116AE1}">
      <text>
        <r>
          <rPr>
            <sz val="9"/>
            <color indexed="81"/>
            <rFont val="Tahoma"/>
            <family val="2"/>
          </rPr>
          <t>Assess the realism of the company's planned WC optimization based on historical data.</t>
        </r>
      </text>
    </comment>
    <comment ref="C15" authorId="0" shapeId="0" xr:uid="{DBE66087-EBFF-425C-8225-987B0D0AC447}">
      <text>
        <r>
          <rPr>
            <sz val="9"/>
            <color indexed="81"/>
            <rFont val="Tahoma"/>
            <family val="2"/>
          </rPr>
          <t>Utilize historical data as a reference to evaluate whether the company's future plans are likely to necessitate additional capex.</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Gerhard Woertche</author>
  </authors>
  <commentList>
    <comment ref="C13" authorId="0" shapeId="0" xr:uid="{D7A88428-3C83-4B06-9E3B-AC3997C4C4F9}">
      <text>
        <r>
          <rPr>
            <sz val="9"/>
            <color indexed="81"/>
            <rFont val="Tahoma"/>
            <family val="2"/>
          </rPr>
          <t>Verify that the signs are correct to ensure that cash expenses and other cash outflows are subtracted from EBITDA.</t>
        </r>
      </text>
    </comment>
  </commentList>
</comments>
</file>

<file path=xl/sharedStrings.xml><?xml version="1.0" encoding="utf-8"?>
<sst xmlns="http://schemas.openxmlformats.org/spreadsheetml/2006/main" count="542" uniqueCount="217">
  <si>
    <t>Frame-tastic</t>
  </si>
  <si>
    <t>Financials</t>
  </si>
  <si>
    <t>t-5</t>
  </si>
  <si>
    <t>t-4</t>
  </si>
  <si>
    <t>t-3</t>
  </si>
  <si>
    <t>t-2</t>
  </si>
  <si>
    <t>t-1</t>
  </si>
  <si>
    <t>t0</t>
  </si>
  <si>
    <t>t1</t>
  </si>
  <si>
    <t>t2</t>
  </si>
  <si>
    <t>Notes from the management team</t>
  </si>
  <si>
    <t>Actuals</t>
  </si>
  <si>
    <t>Forecast</t>
  </si>
  <si>
    <t>Sales</t>
  </si>
  <si>
    <t>Frame-tastic argues that strong growth should continue because of the strength of the new product positioning. GM insights estimates the CAGR for the overall door and window frame market up to 2024 to be 3% globally, which includes the strong growth expected in emerging markets. The CAGR assumed by Frame-tastic is 17%. A major international competitor called Schueco has a turnover of €1.5bn.</t>
  </si>
  <si>
    <t>Cost of sales</t>
  </si>
  <si>
    <t>CoGS</t>
  </si>
  <si>
    <t>Direct labour</t>
  </si>
  <si>
    <t>Overheads</t>
  </si>
  <si>
    <t>Finance, legal, HR, etc</t>
  </si>
  <si>
    <t>Product development</t>
  </si>
  <si>
    <t>Frame-tastic believes that product development spend can reduce now because the product repositioning work has now been done.</t>
  </si>
  <si>
    <t>EBITDA</t>
  </si>
  <si>
    <t>Normal is 8%-14% (source: p11 of https://www.maalot.co.il/Publications/MT20171227151828.pdf)</t>
  </si>
  <si>
    <t>Capex</t>
  </si>
  <si>
    <t>Tax</t>
  </si>
  <si>
    <t>Current assets</t>
  </si>
  <si>
    <t>Cash and short-term investments</t>
  </si>
  <si>
    <t>Inventory</t>
  </si>
  <si>
    <t>Accounts receivable</t>
  </si>
  <si>
    <t>Prepaid expenses</t>
  </si>
  <si>
    <t>Fixed (long-term) assets</t>
  </si>
  <si>
    <t>Long-term investments</t>
  </si>
  <si>
    <t>Property, plant and equipment</t>
  </si>
  <si>
    <t>(less accumulated depreciation)</t>
  </si>
  <si>
    <t>Intangible assets</t>
  </si>
  <si>
    <t>Other assets</t>
  </si>
  <si>
    <t>Deferred tax asset</t>
  </si>
  <si>
    <t>Total assets</t>
  </si>
  <si>
    <t>Current liabilities</t>
  </si>
  <si>
    <t>Accounts payable</t>
  </si>
  <si>
    <t>Accrued salaries</t>
  </si>
  <si>
    <t>unearned revenue</t>
  </si>
  <si>
    <t>Long term liabilities</t>
  </si>
  <si>
    <t>Long-term debt</t>
  </si>
  <si>
    <t>Deferred income tax</t>
  </si>
  <si>
    <t>Owners equity</t>
  </si>
  <si>
    <t>Operating working capital</t>
  </si>
  <si>
    <t>Change in op WC</t>
  </si>
  <si>
    <t xml:space="preserve">Frame-tastic makes window frames and door frames. </t>
  </si>
  <si>
    <t>Frame-tastic has been investing over recent years in branding their frames as ecologically friendly</t>
  </si>
  <si>
    <t>Three years ago they made an investment in a new way to integrate frames with windows, which, they argue reduces heating bills for clients and is better for the environment</t>
  </si>
  <si>
    <t>Last year they made an embarrassing data protection blunder which led to it being fined by the ICO. It also &lt;INSERT SOME HR OR LEGAL ISSUE HERE&gt;</t>
  </si>
  <si>
    <t>Good Old Frames Plc went through an IPO last year. It was IPO'd at a valuation of 10 times its earnings. At the time its earnings growth had just reached a plateau, however they claimed that they had a strong sales pipeline and that its sales would grow, and indeed they grew by 20% over the last year</t>
  </si>
  <si>
    <t>Superframes Ltd was sold four years ago for 9x its earnings. It operates mostly in Scotland and the North of England. It is a bit smaller than Frame-tastic.</t>
  </si>
  <si>
    <t>FRAMETASTIC</t>
  </si>
  <si>
    <t>COMPANY VALUATION</t>
  </si>
  <si>
    <t>Company Name:</t>
  </si>
  <si>
    <t>Frametastic</t>
  </si>
  <si>
    <t>Team Number:</t>
  </si>
  <si>
    <t>1a. Project P&amp;L:</t>
  </si>
  <si>
    <t>Historical</t>
  </si>
  <si>
    <t>Projected</t>
  </si>
  <si>
    <r>
      <t xml:space="preserve">(in </t>
    </r>
    <r>
      <rPr>
        <i/>
        <sz val="11"/>
        <color theme="0"/>
        <rFont val="Calibri"/>
        <family val="2"/>
      </rPr>
      <t>€ million)</t>
    </r>
  </si>
  <si>
    <t>Units:</t>
  </si>
  <si>
    <t>Revenue</t>
  </si>
  <si>
    <t>€</t>
  </si>
  <si>
    <t>% growth</t>
  </si>
  <si>
    <t>%</t>
  </si>
  <si>
    <t>Cost of Goods Sold (COGS)</t>
  </si>
  <si>
    <t>% of revenue</t>
  </si>
  <si>
    <t>Direct Labour</t>
  </si>
  <si>
    <t>% revenue</t>
  </si>
  <si>
    <t>Gross Profit</t>
  </si>
  <si>
    <t>SG&amp;A</t>
  </si>
  <si>
    <t>One off 30m</t>
  </si>
  <si>
    <t>Product Development</t>
  </si>
  <si>
    <t>expected to drop</t>
  </si>
  <si>
    <t>EBITDA margin</t>
  </si>
  <si>
    <t>D&amp;A</t>
  </si>
  <si>
    <t xml:space="preserve">EBIT  </t>
  </si>
  <si>
    <t>EBIT margin</t>
  </si>
  <si>
    <t>Interest Expense - TLB</t>
  </si>
  <si>
    <t>EBT</t>
  </si>
  <si>
    <t>(Enter German Corporate Tax Rate)</t>
  </si>
  <si>
    <t>Tax    @</t>
  </si>
  <si>
    <t xml:space="preserve"> </t>
  </si>
  <si>
    <t>Net Income</t>
  </si>
  <si>
    <t>Net Income Margin</t>
  </si>
  <si>
    <t>1b. DCM Table:</t>
  </si>
  <si>
    <t>EV</t>
  </si>
  <si>
    <t>Debt (Term Loan B) Amount</t>
  </si>
  <si>
    <t>TLB Interest Premium</t>
  </si>
  <si>
    <t>EURIBOR</t>
  </si>
  <si>
    <t>2. Project Working Capital Changes &amp; Capex:</t>
  </si>
  <si>
    <t>Accounts Receivable</t>
  </si>
  <si>
    <t>Accounts Payable</t>
  </si>
  <si>
    <t>Working Capital</t>
  </si>
  <si>
    <t>Change in Working Capital</t>
  </si>
  <si>
    <t>Average</t>
  </si>
  <si>
    <t>Days Inventory</t>
  </si>
  <si>
    <t>AR Days</t>
  </si>
  <si>
    <t>AP Days</t>
  </si>
  <si>
    <t>Capex %COGS</t>
  </si>
  <si>
    <t>3. Calculate Free Cash Flow:</t>
  </si>
  <si>
    <t>Actual</t>
  </si>
  <si>
    <t>(+) EBITDA</t>
  </si>
  <si>
    <t>(-) Interest Expense</t>
  </si>
  <si>
    <t>(-) Taxes</t>
  </si>
  <si>
    <t>(-/+) Change in Working Capital</t>
  </si>
  <si>
    <t>(-) Capex</t>
  </si>
  <si>
    <t>Free Cash Flow to Equity (FCFE)</t>
  </si>
  <si>
    <t>4. Discounted Cash Flow Valuation (DCF):</t>
  </si>
  <si>
    <t>FCFE</t>
  </si>
  <si>
    <t>PV of FCFE</t>
  </si>
  <si>
    <t>Terminal Value</t>
  </si>
  <si>
    <t>=</t>
  </si>
  <si>
    <t>PV of Terminal Value</t>
  </si>
  <si>
    <t>Discount Rate (IRR)</t>
  </si>
  <si>
    <t>Terminal Growth Rate</t>
  </si>
  <si>
    <t>Equity Value</t>
  </si>
  <si>
    <t>(+) Net Debt</t>
  </si>
  <si>
    <t>Cash 20M</t>
  </si>
  <si>
    <t>Enterprise Value</t>
  </si>
  <si>
    <t>STAR HOTEL</t>
  </si>
  <si>
    <t>Key Assumptions</t>
  </si>
  <si>
    <t>Number of new Hotels per year until 2028</t>
  </si>
  <si>
    <t>Annual Growth Rate of New Hotels from 2029 onwards</t>
  </si>
  <si>
    <t>Average Daily Rate 2024</t>
  </si>
  <si>
    <t>COGS cut over 5 years (2024-2028)</t>
  </si>
  <si>
    <t>COGS cut per year - until 2028</t>
  </si>
  <si>
    <t xml:space="preserve">COGS cut over 10 years </t>
  </si>
  <si>
    <t>COGS cut per year - between 2029-2033</t>
  </si>
  <si>
    <t>SG&amp;A cut over 3 years (2024-2026)</t>
  </si>
  <si>
    <t>SG&amp;A cut per year - until 2026</t>
  </si>
  <si>
    <t>SG&amp;A cut over 10 years</t>
  </si>
  <si>
    <t>SG&amp;A cut per year - between 2027-2033</t>
  </si>
  <si>
    <t>Setup cost per hotel</t>
  </si>
  <si>
    <t>Maintenance capex per hotel</t>
  </si>
  <si>
    <t>Non-recurring Capex for 2024 - equiv. 2x set-up costs (Fire Damage Repairs)</t>
  </si>
  <si>
    <t>Average Maintenance Capex per hotel</t>
  </si>
  <si>
    <t>ΔWC - 2024</t>
  </si>
  <si>
    <t>ΔWC decrease per year to be 0 by 2028</t>
  </si>
  <si>
    <t xml:space="preserve">ΔWC in steady state </t>
  </si>
  <si>
    <t>1a. Profit &amp; Loss</t>
  </si>
  <si>
    <t>Growth Phase</t>
  </si>
  <si>
    <t>Steady State Phase</t>
  </si>
  <si>
    <t>Leased &amp; Operated:</t>
  </si>
  <si>
    <t>Hotels at Year End</t>
  </si>
  <si>
    <t>#</t>
  </si>
  <si>
    <t>Hotels Out of Service</t>
  </si>
  <si>
    <t>Operating Hotels at Year End</t>
  </si>
  <si>
    <t>Number of Hotels Growth</t>
  </si>
  <si>
    <t>Rooms per Hotel</t>
  </si>
  <si>
    <t>Average Occupancy Rate</t>
  </si>
  <si>
    <t>ADR (Average Daily Rate)</t>
  </si>
  <si>
    <t>RevPAR (Revenue per Available Room)</t>
  </si>
  <si>
    <t>€m</t>
  </si>
  <si>
    <t>YoY Revenue Growth</t>
  </si>
  <si>
    <t>Adjusted Revenues</t>
  </si>
  <si>
    <t>YoY Adjusted Revenue Growth</t>
  </si>
  <si>
    <t>Hotel Operating Costs (COGS)</t>
  </si>
  <si>
    <t>Non-Recurring Item (one hotel caught fire)</t>
  </si>
  <si>
    <t>EBITDA Margin</t>
  </si>
  <si>
    <t>Ajusted EBITDA</t>
  </si>
  <si>
    <t>Adjusted EBITDA Margin</t>
  </si>
  <si>
    <t>Interest</t>
  </si>
  <si>
    <t>Earnings Before Tax (EBT)</t>
  </si>
  <si>
    <t>Tax   (Enter Italian Corporate Tax Rate)</t>
  </si>
  <si>
    <t xml:space="preserve">                 </t>
  </si>
  <si>
    <t>Debt/EBITDA</t>
  </si>
  <si>
    <t>x</t>
  </si>
  <si>
    <t>1c. Working Capital, Capex, Free Cash Flow &amp; DCF Valuation:</t>
  </si>
  <si>
    <t>Capex:</t>
  </si>
  <si>
    <t xml:space="preserve">Growth </t>
  </si>
  <si>
    <t>Maintenance</t>
  </si>
  <si>
    <t>Non-Recurring Capex</t>
  </si>
  <si>
    <t>Total Capex</t>
  </si>
  <si>
    <t>1d. Free Cash Flow &amp; DCF Valuation (with 15% IRR) :</t>
  </si>
  <si>
    <t>Adjusted EBITDA</t>
  </si>
  <si>
    <t>Terminal Value:</t>
  </si>
  <si>
    <t>Tax Rate</t>
  </si>
  <si>
    <t>PV of Terminal Value:</t>
  </si>
  <si>
    <t>Discount Factor</t>
  </si>
  <si>
    <t>Year</t>
  </si>
  <si>
    <t>Base Case</t>
  </si>
  <si>
    <t>Euribor rates - all information on Euribor</t>
  </si>
  <si>
    <t>Maintenance capex --&gt; they did as % of revenues --&gt; but not based on refurbishments etc</t>
  </si>
  <si>
    <t>cost per hotel, multiplied by number of hotels</t>
  </si>
  <si>
    <t>Total Maintenance</t>
  </si>
  <si>
    <t>Don't increase a lot with the number of hotels --&gt; assume steady</t>
  </si>
  <si>
    <r>
      <rPr>
        <b/>
        <sz val="12"/>
        <color rgb="FF000000"/>
        <rFont val="Calibri"/>
      </rPr>
      <t>Soft refurbishment</t>
    </r>
    <r>
      <rPr>
        <sz val="12"/>
        <color rgb="FF000000"/>
        <rFont val="Calibri"/>
      </rPr>
      <t xml:space="preserve"> (carpets, paint, bedding, furniture fabrics, décor): every </t>
    </r>
    <r>
      <rPr>
        <b/>
        <sz val="12"/>
        <color rgb="FF000000"/>
        <rFont val="Calibri"/>
      </rPr>
      <t>5–7 years</t>
    </r>
  </si>
  <si>
    <t>Maintenance for new hotels bought</t>
  </si>
  <si>
    <t>Maintenance for hotels already part of the portfolio</t>
  </si>
  <si>
    <t xml:space="preserve">Additional one-off capex </t>
  </si>
  <si>
    <r>
      <t>Hard refurbishment / full renovation</t>
    </r>
    <r>
      <rPr>
        <sz val="11"/>
        <color theme="1"/>
        <rFont val="Calibri"/>
        <family val="2"/>
        <scheme val="minor"/>
      </rPr>
      <t xml:space="preserve"> (bathrooms, casegoods, HVAC, lobby redesign, infrastructure): every </t>
    </r>
    <r>
      <rPr>
        <b/>
        <sz val="12"/>
        <color theme="1"/>
        <rFont val="Calibri"/>
        <family val="2"/>
        <scheme val="minor"/>
      </rPr>
      <t>10–15 years</t>
    </r>
  </si>
  <si>
    <t>Cost per Hotels - Growth Capex</t>
  </si>
  <si>
    <t>TT maintenance CAPEX</t>
  </si>
  <si>
    <t>major refurbishments 2022 and 2023, recover to normal levels of 2021</t>
  </si>
  <si>
    <t>Maintenance CAPEX new ones</t>
  </si>
  <si>
    <t>Major refurbishments only on new hotels (average of 2022 and 2023), otherwise minor</t>
  </si>
  <si>
    <t>Maintenance capex old ones</t>
  </si>
  <si>
    <t>more or less the maintenacnce CAPEX</t>
  </si>
  <si>
    <t>MOBICO</t>
  </si>
  <si>
    <t>Mobico</t>
  </si>
  <si>
    <t>IT Services &amp; Consultancy</t>
  </si>
  <si>
    <t xml:space="preserve">Other Operating Costs </t>
  </si>
  <si>
    <t>Ask sell side team</t>
  </si>
  <si>
    <t>(Enter Norweigian Corporate Tax Rate)</t>
  </si>
  <si>
    <t>using 5x</t>
  </si>
  <si>
    <t>Inventory days</t>
  </si>
  <si>
    <t>AR days</t>
  </si>
  <si>
    <t>AP days</t>
  </si>
  <si>
    <t>Capex revenue</t>
  </si>
  <si>
    <t>432 bid</t>
  </si>
  <si>
    <t>MOIC</t>
  </si>
  <si>
    <t>With their offer, current hurdle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</si>
</sst>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3" formatCode="_(* #,##0.00_);_(* \(#,##0.00\);_(* &quot;-&quot;??_);_(@_)"/>
    <numFmt numFmtId="164" formatCode="_ * #,##0.00_ ;_ * \-#,##0.00_ ;_ * &quot;-&quot;??_ ;_ @_ "/>
    <numFmt numFmtId="165" formatCode="0.0%"/>
    <numFmt numFmtId="166" formatCode="_ * #,##0_ ;_ * \-#,##0_ ;_ * &quot;-&quot;??_ ;_ @_ "/>
    <numFmt numFmtId="167" formatCode="_-* #,##0_-;\-* #,##0_-;_-* &quot;-&quot;??_-;_-@_-"/>
    <numFmt numFmtId="168" formatCode="_-* #,##0.0_-;\-* #,##0.0_-;_-* &quot;-&quot;??_-;_-@_-"/>
    <numFmt numFmtId="169" formatCode="_(* #,##0.0_);_(* \(#,##0.0\);_(* &quot;-&quot;??_);_(@_)"/>
    <numFmt numFmtId="170" formatCode="#.0,,&quot;M&quot;"/>
    <numFmt numFmtId="171" formatCode="#,,&quot;M&quot;"/>
    <numFmt numFmtId="172" formatCode="#,,\ &quot;m&quot;"/>
    <numFmt numFmtId="173" formatCode="_-* #,##0.00_-;\-* #,##0.00_-;_-* &quot;-&quot;??_-;_-@_-"/>
    <numFmt numFmtId="174" formatCode="0.000%"/>
    <numFmt numFmtId="175" formatCode="_(* #,##0.0_);_(* \(#,##0.0\);_(* &quot;-&quot;?_);_(@_)"/>
    <numFmt numFmtId="176" formatCode="_(* #,##0_);_(* \(#,##0\);_(* &quot;-&quot;??_);_(@_)"/>
    <numFmt numFmtId="177" formatCode="#.0,,\ &quot;m&quot;"/>
    <numFmt numFmtId="178" formatCode="0.0"/>
    <numFmt numFmtId="179" formatCode="_(* #,##0.000_);_(* \(#,##0.000\);_(* &quot;-&quot;??_);_(@_)"/>
  </numFmts>
  <fonts count="44">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theme="0" tint="-0.34998626667073579"/>
      <name val="Calibri"/>
      <family val="2"/>
      <scheme val="minor"/>
    </font>
    <font>
      <sz val="12"/>
      <color theme="1"/>
      <name val="Calibri"/>
      <family val="2"/>
      <scheme val="minor"/>
    </font>
    <font>
      <b/>
      <sz val="12"/>
      <color theme="0"/>
      <name val="Calibri"/>
      <family val="2"/>
      <scheme val="minor"/>
    </font>
    <font>
      <i/>
      <sz val="12"/>
      <color theme="1"/>
      <name val="Calibri"/>
      <family val="2"/>
      <scheme val="minor"/>
    </font>
    <font>
      <b/>
      <sz val="12"/>
      <color theme="1"/>
      <name val="Calibri"/>
      <family val="2"/>
      <scheme val="minor"/>
    </font>
    <font>
      <i/>
      <sz val="11"/>
      <color theme="1"/>
      <name val="Calibri"/>
      <family val="2"/>
      <scheme val="minor"/>
    </font>
    <font>
      <b/>
      <i/>
      <sz val="12"/>
      <color theme="0"/>
      <name val="Calibri"/>
      <family val="2"/>
      <scheme val="minor"/>
    </font>
    <font>
      <sz val="12"/>
      <color theme="0"/>
      <name val="Calibri"/>
      <family val="2"/>
      <scheme val="minor"/>
    </font>
    <font>
      <b/>
      <i/>
      <sz val="12"/>
      <color theme="1"/>
      <name val="Calibri"/>
      <family val="2"/>
      <scheme val="minor"/>
    </font>
    <font>
      <sz val="12"/>
      <color rgb="FF0070C0"/>
      <name val="Calibri"/>
      <family val="2"/>
      <scheme val="minor"/>
    </font>
    <font>
      <i/>
      <sz val="11"/>
      <color rgb="FF0070C0"/>
      <name val="Calibri"/>
      <family val="2"/>
      <scheme val="minor"/>
    </font>
    <font>
      <sz val="12"/>
      <color rgb="FF0000FF"/>
      <name val="Calibri"/>
      <family val="2"/>
      <scheme val="minor"/>
    </font>
    <font>
      <b/>
      <sz val="12"/>
      <name val="Calibri"/>
      <family val="2"/>
      <scheme val="minor"/>
    </font>
    <font>
      <sz val="12"/>
      <name val="Calibri"/>
      <family val="2"/>
      <scheme val="minor"/>
    </font>
    <font>
      <i/>
      <sz val="11"/>
      <color theme="0"/>
      <name val="Calibri"/>
      <family val="2"/>
      <scheme val="minor"/>
    </font>
    <font>
      <i/>
      <sz val="11"/>
      <color theme="0"/>
      <name val="Calibri"/>
      <family val="2"/>
    </font>
    <font>
      <b/>
      <i/>
      <sz val="11"/>
      <color theme="1"/>
      <name val="Calibri"/>
      <family val="2"/>
      <scheme val="minor"/>
    </font>
    <font>
      <sz val="11"/>
      <color rgb="FF0000FF"/>
      <name val="Calibri"/>
      <family val="2"/>
      <scheme val="minor"/>
    </font>
    <font>
      <sz val="9"/>
      <color indexed="81"/>
      <name val="Tahoma"/>
      <family val="2"/>
    </font>
    <font>
      <sz val="9"/>
      <color rgb="FF000000"/>
      <name val="Tahoma"/>
      <family val="2"/>
    </font>
    <font>
      <u/>
      <sz val="11"/>
      <color theme="10"/>
      <name val="Calibri"/>
      <family val="2"/>
      <scheme val="minor"/>
    </font>
    <font>
      <b/>
      <sz val="26"/>
      <color theme="3"/>
      <name val="Calibri"/>
      <family val="2"/>
      <scheme val="minor"/>
    </font>
    <font>
      <b/>
      <sz val="12"/>
      <color rgb="FFFF0000"/>
      <name val="Calibri"/>
      <family val="2"/>
      <scheme val="minor"/>
    </font>
    <font>
      <sz val="12"/>
      <color rgb="FFFF0000"/>
      <name val="Calibri"/>
      <family val="2"/>
      <scheme val="minor"/>
    </font>
    <font>
      <i/>
      <sz val="10"/>
      <color theme="1"/>
      <name val="Calibri"/>
      <family val="2"/>
      <scheme val="minor"/>
    </font>
    <font>
      <sz val="12"/>
      <color theme="1"/>
      <name val="Calibri"/>
      <family val="2"/>
    </font>
    <font>
      <b/>
      <sz val="12"/>
      <color theme="1"/>
      <name val="Calibri"/>
      <family val="2"/>
    </font>
    <font>
      <sz val="13.5"/>
      <color rgb="FF000000"/>
      <name val="Calibri"/>
      <family val="2"/>
      <scheme val="minor"/>
    </font>
    <font>
      <sz val="10"/>
      <color rgb="FFFF0000"/>
      <name val="Calibri"/>
      <family val="2"/>
      <scheme val="minor"/>
    </font>
    <font>
      <i/>
      <u/>
      <sz val="12"/>
      <color theme="1"/>
      <name val="Calibri"/>
      <family val="2"/>
      <scheme val="minor"/>
    </font>
    <font>
      <b/>
      <sz val="12"/>
      <color rgb="FF000000"/>
      <name val="Calibri"/>
    </font>
    <font>
      <sz val="12"/>
      <color rgb="FF000000"/>
      <name val="Calibri"/>
    </font>
    <font>
      <sz val="12"/>
      <color rgb="FF000000"/>
      <name val="Calibri"/>
      <family val="2"/>
      <charset val="1"/>
    </font>
    <font>
      <i/>
      <sz val="10"/>
      <color rgb="FFFF0000"/>
      <name val="Calibri"/>
      <family val="2"/>
      <scheme val="minor"/>
    </font>
    <font>
      <i/>
      <sz val="11"/>
      <color rgb="FFFF0000"/>
      <name val="Calibri"/>
      <family val="2"/>
      <scheme val="minor"/>
    </font>
    <font>
      <sz val="11"/>
      <color rgb="FFFF0000"/>
      <name val="Calibri"/>
      <family val="2"/>
      <scheme val="minor"/>
    </font>
    <font>
      <b/>
      <sz val="16"/>
      <color theme="0"/>
      <name val="Calibri"/>
      <family val="2"/>
      <scheme val="minor"/>
    </font>
    <font>
      <b/>
      <sz val="11"/>
      <color theme="1"/>
      <name val="Calibri"/>
      <family val="2"/>
      <scheme val="minor"/>
    </font>
    <font>
      <sz val="26"/>
      <color theme="3"/>
      <name val="Calibri"/>
      <family val="2"/>
      <scheme val="minor"/>
    </font>
  </fonts>
  <fills count="15">
    <fill>
      <patternFill patternType="none"/>
    </fill>
    <fill>
      <patternFill patternType="gray125"/>
    </fill>
    <fill>
      <patternFill patternType="solid">
        <fgColor theme="3" tint="-0.499984740745262"/>
        <bgColor indexed="64"/>
      </patternFill>
    </fill>
    <fill>
      <patternFill patternType="solid">
        <fgColor rgb="FF0070C0"/>
        <bgColor indexed="64"/>
      </patternFill>
    </fill>
    <fill>
      <patternFill patternType="solid">
        <fgColor rgb="FFD1EBFF"/>
        <bgColor indexed="64"/>
      </patternFill>
    </fill>
    <fill>
      <patternFill patternType="solid">
        <fgColor rgb="FF00999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DE9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theme="3"/>
        <bgColor indexed="64"/>
      </patternFill>
    </fill>
    <fill>
      <patternFill patternType="solid">
        <fgColor theme="4" tint="0.79998168889431442"/>
        <bgColor indexed="64"/>
      </patternFill>
    </fill>
  </fills>
  <borders count="5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theme="0"/>
      </right>
      <top/>
      <bottom style="thin">
        <color theme="0"/>
      </bottom>
      <diagonal/>
    </border>
    <border>
      <left/>
      <right/>
      <top/>
      <bottom style="thin">
        <color theme="0"/>
      </bottom>
      <diagonal/>
    </border>
    <border>
      <left/>
      <right style="thin">
        <color theme="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top style="dotted">
        <color indexed="64"/>
      </top>
      <bottom/>
      <diagonal/>
    </border>
    <border>
      <left/>
      <right style="dotted">
        <color theme="0"/>
      </right>
      <top/>
      <bottom style="thin">
        <color theme="0"/>
      </bottom>
      <diagonal/>
    </border>
    <border>
      <left style="dotted">
        <color indexed="64"/>
      </left>
      <right style="dotted">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bottom style="thin">
        <color theme="0"/>
      </bottom>
      <diagonal/>
    </border>
    <border>
      <left style="thin">
        <color theme="0"/>
      </left>
      <right/>
      <top/>
      <bottom/>
      <diagonal/>
    </border>
    <border>
      <left style="thin">
        <color theme="0"/>
      </left>
      <right/>
      <top style="thin">
        <color theme="0"/>
      </top>
      <bottom/>
      <diagonal/>
    </border>
    <border>
      <left style="dotted">
        <color indexed="64"/>
      </left>
      <right style="dotted">
        <color indexed="64"/>
      </right>
      <top style="dotted">
        <color indexed="64"/>
      </top>
      <bottom style="thin">
        <color indexed="64"/>
      </bottom>
      <diagonal/>
    </border>
    <border>
      <left/>
      <right/>
      <top style="thin">
        <color indexed="64"/>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dotted">
        <color indexed="64"/>
      </right>
      <top style="dotted">
        <color indexed="64"/>
      </top>
      <bottom style="dotted">
        <color indexed="64"/>
      </bottom>
      <diagonal/>
    </border>
    <border>
      <left style="medium">
        <color rgb="FF000000"/>
      </left>
      <right/>
      <top style="medium">
        <color rgb="FF000000"/>
      </top>
      <bottom/>
      <diagonal/>
    </border>
    <border>
      <left style="dashed">
        <color rgb="FF000000"/>
      </left>
      <right style="medium">
        <color rgb="FF000000"/>
      </right>
      <top style="medium">
        <color rgb="FF000000"/>
      </top>
      <bottom/>
      <diagonal/>
    </border>
    <border>
      <left style="dashed">
        <color rgb="FF000000"/>
      </left>
      <right style="medium">
        <color rgb="FF000000"/>
      </right>
      <top/>
      <bottom/>
      <diagonal/>
    </border>
    <border>
      <left style="dashed">
        <color rgb="FF000000"/>
      </left>
      <right style="medium">
        <color rgb="FF000000"/>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right/>
      <top style="thin">
        <color indexed="64"/>
      </top>
      <bottom style="medium">
        <color rgb="FF000000"/>
      </bottom>
      <diagonal/>
    </border>
  </borders>
  <cellStyleXfs count="5">
    <xf numFmtId="0" fontId="0" fillId="0" borderId="0"/>
    <xf numFmtId="9"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0" fontId="25" fillId="0" borderId="0" applyNumberFormat="0" applyFill="0" applyBorder="0" applyAlignment="0" applyProtection="0"/>
  </cellStyleXfs>
  <cellXfs count="330">
    <xf numFmtId="0" fontId="0" fillId="0" borderId="0" xfId="0"/>
    <xf numFmtId="0" fontId="4" fillId="2" borderId="0" xfId="0" applyFont="1" applyFill="1"/>
    <xf numFmtId="0" fontId="3" fillId="2" borderId="0" xfId="0" applyFont="1" applyFill="1"/>
    <xf numFmtId="0" fontId="5" fillId="0" borderId="0" xfId="0" applyFont="1"/>
    <xf numFmtId="0" fontId="0" fillId="0" borderId="0" xfId="0" applyAlignment="1">
      <alignment horizontal="right"/>
    </xf>
    <xf numFmtId="9" fontId="0" fillId="0" borderId="0" xfId="1" applyFont="1"/>
    <xf numFmtId="0" fontId="0" fillId="0" borderId="0" xfId="0" applyAlignment="1">
      <alignment horizontal="left"/>
    </xf>
    <xf numFmtId="0" fontId="6" fillId="0" borderId="0" xfId="0" applyFont="1"/>
    <xf numFmtId="0" fontId="9" fillId="0" borderId="8" xfId="0" applyFont="1" applyBorder="1"/>
    <xf numFmtId="0" fontId="7" fillId="0" borderId="14" xfId="0" applyFont="1" applyBorder="1"/>
    <xf numFmtId="0" fontId="7" fillId="0" borderId="0" xfId="0" applyFont="1"/>
    <xf numFmtId="0" fontId="9" fillId="0" borderId="0" xfId="0" applyFont="1"/>
    <xf numFmtId="0" fontId="10" fillId="0" borderId="0" xfId="0" applyFont="1"/>
    <xf numFmtId="0" fontId="11" fillId="0" borderId="0" xfId="0" applyFont="1" applyAlignment="1">
      <alignment horizontal="center"/>
    </xf>
    <xf numFmtId="1" fontId="9" fillId="0" borderId="8" xfId="0" applyNumberFormat="1" applyFont="1" applyBorder="1"/>
    <xf numFmtId="1" fontId="9" fillId="0" borderId="9" xfId="0" applyNumberFormat="1" applyFont="1" applyBorder="1"/>
    <xf numFmtId="0" fontId="6" fillId="0" borderId="0" xfId="0" applyFont="1" applyAlignment="1">
      <alignment horizontal="center"/>
    </xf>
    <xf numFmtId="0" fontId="7" fillId="0" borderId="0" xfId="0" applyFont="1" applyAlignment="1">
      <alignment horizontal="center"/>
    </xf>
    <xf numFmtId="0" fontId="14" fillId="0" borderId="0" xfId="0" applyFont="1"/>
    <xf numFmtId="0" fontId="15" fillId="0" borderId="0" xfId="0" applyFont="1"/>
    <xf numFmtId="9" fontId="10" fillId="0" borderId="0" xfId="1" applyFont="1" applyFill="1" applyBorder="1"/>
    <xf numFmtId="165" fontId="10" fillId="0" borderId="0" xfId="1" applyNumberFormat="1" applyFont="1" applyFill="1" applyBorder="1"/>
    <xf numFmtId="165" fontId="10" fillId="0" borderId="0" xfId="1" applyNumberFormat="1" applyFont="1" applyFill="1" applyBorder="1" applyAlignment="1">
      <alignment horizontal="right"/>
    </xf>
    <xf numFmtId="0" fontId="7" fillId="0" borderId="15" xfId="0" applyFont="1" applyBorder="1"/>
    <xf numFmtId="0" fontId="7" fillId="0" borderId="14" xfId="0" applyFont="1" applyBorder="1" applyAlignment="1">
      <alignment horizontal="centerContinuous"/>
    </xf>
    <xf numFmtId="0" fontId="7" fillId="3" borderId="6" xfId="0" applyFont="1" applyFill="1" applyBorder="1" applyAlignment="1">
      <alignment horizontal="centerContinuous"/>
    </xf>
    <xf numFmtId="0" fontId="7" fillId="3" borderId="5" xfId="0" applyFont="1" applyFill="1" applyBorder="1" applyAlignment="1">
      <alignment horizontal="centerContinuous"/>
    </xf>
    <xf numFmtId="0" fontId="7" fillId="3" borderId="7" xfId="0" applyFont="1" applyFill="1" applyBorder="1" applyAlignment="1">
      <alignment horizontal="center"/>
    </xf>
    <xf numFmtId="1" fontId="16" fillId="4" borderId="20" xfId="0" applyNumberFormat="1" applyFont="1" applyFill="1" applyBorder="1"/>
    <xf numFmtId="0" fontId="7" fillId="5" borderId="0" xfId="0" applyFont="1" applyFill="1"/>
    <xf numFmtId="0" fontId="7" fillId="3" borderId="0" xfId="0" applyFont="1" applyFill="1" applyAlignment="1">
      <alignment horizontal="center"/>
    </xf>
    <xf numFmtId="0" fontId="12" fillId="3" borderId="6" xfId="0" applyFont="1" applyFill="1" applyBorder="1" applyAlignment="1">
      <alignment horizontal="centerContinuous"/>
    </xf>
    <xf numFmtId="165" fontId="16" fillId="4" borderId="20" xfId="0" applyNumberFormat="1" applyFont="1" applyFill="1" applyBorder="1" applyAlignment="1">
      <alignment horizontal="center"/>
    </xf>
    <xf numFmtId="10" fontId="16" fillId="4" borderId="20" xfId="1" applyNumberFormat="1" applyFont="1" applyFill="1" applyBorder="1" applyAlignment="1">
      <alignment horizontal="center"/>
    </xf>
    <xf numFmtId="166" fontId="9" fillId="0" borderId="0" xfId="2" applyNumberFormat="1" applyFont="1" applyFill="1" applyBorder="1"/>
    <xf numFmtId="0" fontId="7" fillId="3" borderId="22" xfId="0" applyFont="1" applyFill="1" applyBorder="1" applyAlignment="1">
      <alignment horizontal="centerContinuous"/>
    </xf>
    <xf numFmtId="0" fontId="13" fillId="0" borderId="10" xfId="0" applyFont="1" applyBorder="1"/>
    <xf numFmtId="0" fontId="8" fillId="0" borderId="10" xfId="0" applyFont="1" applyBorder="1"/>
    <xf numFmtId="0" fontId="9" fillId="0" borderId="17" xfId="0" applyFont="1" applyBorder="1"/>
    <xf numFmtId="0" fontId="11" fillId="3" borderId="0" xfId="0" applyFont="1" applyFill="1"/>
    <xf numFmtId="0" fontId="7" fillId="5" borderId="14" xfId="0" applyFont="1" applyFill="1" applyBorder="1"/>
    <xf numFmtId="1" fontId="9" fillId="0" borderId="10" xfId="0" applyNumberFormat="1" applyFont="1" applyBorder="1"/>
    <xf numFmtId="0" fontId="19" fillId="3" borderId="0" xfId="0" applyFont="1" applyFill="1"/>
    <xf numFmtId="0" fontId="7" fillId="5" borderId="11" xfId="0" applyFont="1" applyFill="1" applyBorder="1"/>
    <xf numFmtId="0" fontId="7" fillId="5" borderId="12" xfId="0" applyFont="1" applyFill="1" applyBorder="1"/>
    <xf numFmtId="0" fontId="7" fillId="5" borderId="13" xfId="0" applyFont="1" applyFill="1" applyBorder="1"/>
    <xf numFmtId="0" fontId="17" fillId="6" borderId="2" xfId="0" applyFont="1" applyFill="1" applyBorder="1" applyAlignment="1">
      <alignment horizontal="centerContinuous"/>
    </xf>
    <xf numFmtId="0" fontId="18" fillId="6" borderId="3" xfId="0" applyFont="1" applyFill="1" applyBorder="1" applyAlignment="1">
      <alignment horizontal="centerContinuous"/>
    </xf>
    <xf numFmtId="1" fontId="16" fillId="0" borderId="0" xfId="0" applyNumberFormat="1" applyFont="1"/>
    <xf numFmtId="0" fontId="16" fillId="0" borderId="0" xfId="0" applyFont="1"/>
    <xf numFmtId="0" fontId="11" fillId="3" borderId="0" xfId="0" applyFont="1" applyFill="1" applyAlignment="1">
      <alignment horizontal="center"/>
    </xf>
    <xf numFmtId="0" fontId="7" fillId="5" borderId="0" xfId="0" applyFont="1" applyFill="1" applyAlignment="1">
      <alignment horizontal="center"/>
    </xf>
    <xf numFmtId="0" fontId="9" fillId="0" borderId="0" xfId="0" applyFont="1" applyAlignment="1">
      <alignment horizontal="center"/>
    </xf>
    <xf numFmtId="0" fontId="21"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0" fontId="7" fillId="5" borderId="12" xfId="0" applyFont="1" applyFill="1" applyBorder="1" applyAlignment="1">
      <alignment horizontal="center"/>
    </xf>
    <xf numFmtId="0" fontId="9" fillId="0" borderId="1" xfId="0" applyFont="1" applyBorder="1"/>
    <xf numFmtId="1" fontId="9" fillId="0" borderId="1" xfId="0" applyNumberFormat="1" applyFont="1" applyBorder="1"/>
    <xf numFmtId="1" fontId="17" fillId="0" borderId="0" xfId="0" applyNumberFormat="1" applyFont="1"/>
    <xf numFmtId="165" fontId="22" fillId="4" borderId="20" xfId="1" applyNumberFormat="1" applyFont="1" applyFill="1" applyBorder="1"/>
    <xf numFmtId="0" fontId="8" fillId="0" borderId="14" xfId="0" applyFont="1" applyBorder="1"/>
    <xf numFmtId="0" fontId="10" fillId="0" borderId="0" xfId="0" applyFont="1" applyAlignment="1">
      <alignment horizontal="centerContinuous"/>
    </xf>
    <xf numFmtId="166" fontId="17" fillId="7" borderId="24" xfId="2" applyNumberFormat="1" applyFont="1" applyFill="1" applyBorder="1" applyAlignment="1">
      <alignment horizontal="centerContinuous"/>
    </xf>
    <xf numFmtId="1" fontId="16" fillId="4" borderId="20" xfId="0" applyNumberFormat="1" applyFont="1" applyFill="1" applyBorder="1" applyAlignment="1">
      <alignment horizontal="right"/>
    </xf>
    <xf numFmtId="0" fontId="8" fillId="0" borderId="0" xfId="0" applyFont="1"/>
    <xf numFmtId="1" fontId="18" fillId="0" borderId="0" xfId="0" applyNumberFormat="1" applyFont="1"/>
    <xf numFmtId="0" fontId="18" fillId="0" borderId="0" xfId="0" applyFont="1" applyAlignment="1">
      <alignment horizontal="left"/>
    </xf>
    <xf numFmtId="0" fontId="17" fillId="0" borderId="0" xfId="0" applyFont="1" applyAlignment="1">
      <alignment horizontal="left" vertical="top"/>
    </xf>
    <xf numFmtId="0" fontId="17" fillId="0" borderId="10" xfId="0" applyFont="1" applyBorder="1" applyAlignment="1">
      <alignment horizontal="left" vertical="top"/>
    </xf>
    <xf numFmtId="0" fontId="16" fillId="0" borderId="10" xfId="1" applyNumberFormat="1" applyFont="1" applyFill="1" applyBorder="1" applyAlignment="1">
      <alignment horizontal="center"/>
    </xf>
    <xf numFmtId="1" fontId="18" fillId="6" borderId="0" xfId="0" applyNumberFormat="1" applyFont="1" applyFill="1"/>
    <xf numFmtId="0" fontId="17" fillId="6" borderId="26" xfId="0" applyFont="1" applyFill="1" applyBorder="1" applyAlignment="1">
      <alignment horizontal="centerContinuous"/>
    </xf>
    <xf numFmtId="1" fontId="16" fillId="4" borderId="20" xfId="1" applyNumberFormat="1" applyFont="1" applyFill="1" applyBorder="1" applyAlignment="1">
      <alignment horizontal="center"/>
    </xf>
    <xf numFmtId="0" fontId="1" fillId="0" borderId="0" xfId="0" applyFont="1"/>
    <xf numFmtId="1" fontId="1" fillId="0" borderId="0" xfId="0" applyNumberFormat="1" applyFont="1"/>
    <xf numFmtId="41" fontId="16" fillId="4" borderId="20" xfId="0" applyNumberFormat="1" applyFont="1" applyFill="1" applyBorder="1"/>
    <xf numFmtId="1" fontId="16" fillId="4" borderId="23" xfId="0" applyNumberFormat="1" applyFont="1" applyFill="1" applyBorder="1"/>
    <xf numFmtId="1" fontId="18" fillId="6" borderId="25" xfId="0" applyNumberFormat="1" applyFont="1" applyFill="1" applyBorder="1"/>
    <xf numFmtId="1" fontId="18" fillId="6" borderId="18" xfId="0" applyNumberFormat="1" applyFont="1" applyFill="1" applyBorder="1"/>
    <xf numFmtId="0" fontId="9" fillId="0" borderId="0" xfId="0" applyFont="1" applyAlignment="1">
      <alignment horizontal="left" vertical="top"/>
    </xf>
    <xf numFmtId="1" fontId="1" fillId="0" borderId="0" xfId="1" applyNumberFormat="1" applyFont="1" applyFill="1" applyBorder="1" applyAlignment="1">
      <alignment horizontal="center"/>
    </xf>
    <xf numFmtId="10" fontId="1" fillId="0" borderId="0" xfId="1" applyNumberFormat="1" applyFont="1" applyFill="1" applyBorder="1" applyAlignment="1">
      <alignment horizontal="center"/>
    </xf>
    <xf numFmtId="1" fontId="9" fillId="0" borderId="0" xfId="0" applyNumberFormat="1" applyFont="1"/>
    <xf numFmtId="0" fontId="9" fillId="0" borderId="0" xfId="0" applyFont="1" applyAlignment="1">
      <alignment vertical="top"/>
    </xf>
    <xf numFmtId="0" fontId="26" fillId="0" borderId="0" xfId="0" applyFont="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27" fillId="0" borderId="0" xfId="0" applyFont="1"/>
    <xf numFmtId="0" fontId="1" fillId="0" borderId="15" xfId="0" applyFont="1" applyBorder="1"/>
    <xf numFmtId="0" fontId="28" fillId="0" borderId="0" xfId="0" applyFont="1"/>
    <xf numFmtId="0" fontId="28" fillId="0" borderId="0" xfId="0" quotePrefix="1" applyFont="1"/>
    <xf numFmtId="0" fontId="17" fillId="0" borderId="0" xfId="0" applyFont="1" applyAlignment="1">
      <alignment horizontal="centerContinuous"/>
    </xf>
    <xf numFmtId="0" fontId="12" fillId="0" borderId="0" xfId="0" applyFont="1" applyAlignment="1">
      <alignment horizontal="centerContinuous"/>
    </xf>
    <xf numFmtId="0" fontId="7" fillId="5" borderId="15" xfId="0" applyFont="1" applyFill="1" applyBorder="1"/>
    <xf numFmtId="0" fontId="7" fillId="3" borderId="27" xfId="0" applyFont="1" applyFill="1" applyBorder="1" applyAlignment="1">
      <alignment horizontal="centerContinuous"/>
    </xf>
    <xf numFmtId="0" fontId="7" fillId="3" borderId="28" xfId="0" applyFont="1" applyFill="1" applyBorder="1" applyAlignment="1">
      <alignment horizontal="center"/>
    </xf>
    <xf numFmtId="0" fontId="7" fillId="3" borderId="29" xfId="0" applyFont="1" applyFill="1" applyBorder="1" applyAlignment="1">
      <alignment horizontal="center"/>
    </xf>
    <xf numFmtId="0" fontId="9" fillId="0" borderId="0" xfId="0" applyFont="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0" xfId="0" applyFont="1" applyAlignment="1">
      <alignment horizontal="center"/>
    </xf>
    <xf numFmtId="167" fontId="1" fillId="0" borderId="0" xfId="2" applyNumberFormat="1" applyFont="1" applyFill="1" applyBorder="1"/>
    <xf numFmtId="0" fontId="0" fillId="0" borderId="15" xfId="0" applyBorder="1"/>
    <xf numFmtId="0" fontId="29" fillId="0" borderId="0" xfId="0" applyFont="1" applyAlignment="1">
      <alignment horizontal="left"/>
    </xf>
    <xf numFmtId="0" fontId="29" fillId="0" borderId="0" xfId="0" applyFont="1" applyAlignment="1">
      <alignment horizontal="center"/>
    </xf>
    <xf numFmtId="9" fontId="29" fillId="0" borderId="0" xfId="1" applyFont="1" applyFill="1" applyBorder="1"/>
    <xf numFmtId="165" fontId="29" fillId="0" borderId="0" xfId="1" applyNumberFormat="1" applyFont="1"/>
    <xf numFmtId="165" fontId="29" fillId="0" borderId="0" xfId="1" applyNumberFormat="1" applyFont="1" applyFill="1" applyBorder="1"/>
    <xf numFmtId="167" fontId="29" fillId="0" borderId="0" xfId="2" applyNumberFormat="1" applyFont="1" applyFill="1" applyBorder="1"/>
    <xf numFmtId="165" fontId="1" fillId="0" borderId="0" xfId="1" applyNumberFormat="1" applyFont="1" applyFill="1" applyBorder="1"/>
    <xf numFmtId="165" fontId="16" fillId="4" borderId="20" xfId="1" applyNumberFormat="1" applyFont="1" applyFill="1" applyBorder="1"/>
    <xf numFmtId="0" fontId="30" fillId="0" borderId="0" xfId="0" applyFont="1" applyAlignment="1">
      <alignment horizontal="center"/>
    </xf>
    <xf numFmtId="168" fontId="1" fillId="0" borderId="0" xfId="2" applyNumberFormat="1" applyFont="1" applyFill="1" applyBorder="1"/>
    <xf numFmtId="168" fontId="16" fillId="4" borderId="20" xfId="0" applyNumberFormat="1" applyFont="1" applyFill="1" applyBorder="1"/>
    <xf numFmtId="168" fontId="0" fillId="8" borderId="20" xfId="2" applyNumberFormat="1" applyFont="1" applyFill="1" applyBorder="1" applyAlignment="1">
      <alignment horizontal="right"/>
    </xf>
    <xf numFmtId="168" fontId="1" fillId="8" borderId="20" xfId="2" applyNumberFormat="1" applyFont="1" applyFill="1" applyBorder="1" applyAlignment="1">
      <alignment horizontal="right"/>
    </xf>
    <xf numFmtId="167" fontId="1" fillId="0" borderId="0" xfId="0" applyNumberFormat="1" applyFont="1"/>
    <xf numFmtId="0" fontId="9" fillId="0" borderId="8" xfId="0" applyFont="1" applyBorder="1" applyAlignment="1">
      <alignment horizontal="left"/>
    </xf>
    <xf numFmtId="0" fontId="31" fillId="0" borderId="8" xfId="0" applyFont="1" applyBorder="1" applyAlignment="1">
      <alignment horizontal="center"/>
    </xf>
    <xf numFmtId="169" fontId="9" fillId="0" borderId="8" xfId="2" applyNumberFormat="1" applyFont="1" applyFill="1" applyBorder="1"/>
    <xf numFmtId="0" fontId="31" fillId="0" borderId="0" xfId="0" applyFont="1" applyAlignment="1">
      <alignment horizontal="center"/>
    </xf>
    <xf numFmtId="169" fontId="9" fillId="0" borderId="0" xfId="2" applyNumberFormat="1" applyFont="1" applyFill="1" applyBorder="1"/>
    <xf numFmtId="0" fontId="10" fillId="0" borderId="0" xfId="0" applyFont="1" applyAlignment="1">
      <alignment horizontal="left"/>
    </xf>
    <xf numFmtId="170" fontId="0" fillId="0" borderId="0" xfId="0" applyNumberFormat="1"/>
    <xf numFmtId="170" fontId="1" fillId="0" borderId="0" xfId="0" applyNumberFormat="1" applyFont="1"/>
    <xf numFmtId="169" fontId="1" fillId="0" borderId="0" xfId="2" applyNumberFormat="1" applyFont="1" applyFill="1" applyBorder="1"/>
    <xf numFmtId="165" fontId="16" fillId="4" borderId="20" xfId="1" applyNumberFormat="1" applyFont="1" applyFill="1" applyBorder="1" applyAlignment="1">
      <alignment horizontal="right"/>
    </xf>
    <xf numFmtId="0" fontId="1" fillId="0" borderId="0" xfId="0" quotePrefix="1" applyFont="1"/>
    <xf numFmtId="0" fontId="29" fillId="0" borderId="14" xfId="0" applyFont="1" applyBorder="1" applyAlignment="1">
      <alignment horizontal="left"/>
    </xf>
    <xf numFmtId="167" fontId="1" fillId="0" borderId="0" xfId="0" applyNumberFormat="1" applyFont="1" applyAlignment="1">
      <alignment horizontal="right"/>
    </xf>
    <xf numFmtId="169" fontId="1" fillId="9" borderId="20" xfId="2" applyNumberFormat="1" applyFont="1" applyFill="1" applyBorder="1"/>
    <xf numFmtId="171" fontId="1" fillId="0" borderId="0" xfId="0" applyNumberFormat="1" applyFont="1" applyAlignment="1">
      <alignment horizontal="right"/>
    </xf>
    <xf numFmtId="169" fontId="1" fillId="4" borderId="20" xfId="2" applyNumberFormat="1" applyFont="1" applyFill="1" applyBorder="1"/>
    <xf numFmtId="169" fontId="0" fillId="4" borderId="20" xfId="2" applyNumberFormat="1" applyFont="1" applyFill="1" applyBorder="1"/>
    <xf numFmtId="0" fontId="1" fillId="0" borderId="18" xfId="0" applyFont="1" applyBorder="1"/>
    <xf numFmtId="9" fontId="29" fillId="0" borderId="18" xfId="1" applyFont="1" applyFill="1" applyBorder="1"/>
    <xf numFmtId="171" fontId="1" fillId="0" borderId="18" xfId="0" applyNumberFormat="1" applyFont="1" applyBorder="1" applyAlignment="1">
      <alignment horizontal="right"/>
    </xf>
    <xf numFmtId="0" fontId="9" fillId="0" borderId="10" xfId="0" applyFont="1" applyBorder="1"/>
    <xf numFmtId="169" fontId="9" fillId="0" borderId="10" xfId="2" applyNumberFormat="1" applyFont="1" applyFill="1" applyBorder="1"/>
    <xf numFmtId="169" fontId="9" fillId="0" borderId="0" xfId="2" applyNumberFormat="1" applyFont="1" applyFill="1" applyBorder="1" applyAlignment="1">
      <alignment horizontal="right"/>
    </xf>
    <xf numFmtId="165" fontId="16" fillId="4" borderId="20" xfId="1" applyNumberFormat="1" applyFont="1" applyFill="1" applyBorder="1" applyAlignment="1">
      <alignment horizontal="center"/>
    </xf>
    <xf numFmtId="169" fontId="1" fillId="0" borderId="0" xfId="2" applyNumberFormat="1" applyFont="1" applyAlignment="1">
      <alignment horizontal="right"/>
    </xf>
    <xf numFmtId="0" fontId="32" fillId="0" borderId="0" xfId="0" applyFont="1"/>
    <xf numFmtId="169" fontId="1" fillId="0" borderId="18" xfId="2" applyNumberFormat="1" applyFont="1" applyBorder="1" applyAlignment="1">
      <alignment horizontal="right"/>
    </xf>
    <xf numFmtId="0" fontId="1" fillId="0" borderId="16" xfId="0" applyFont="1" applyBorder="1"/>
    <xf numFmtId="0" fontId="31" fillId="0" borderId="10" xfId="0" applyFont="1" applyBorder="1" applyAlignment="1">
      <alignment horizontal="center"/>
    </xf>
    <xf numFmtId="172" fontId="9" fillId="0" borderId="10" xfId="2" applyNumberFormat="1" applyFont="1" applyFill="1" applyBorder="1"/>
    <xf numFmtId="0" fontId="1" fillId="0" borderId="17" xfId="0" applyFont="1" applyBorder="1"/>
    <xf numFmtId="172" fontId="9" fillId="0" borderId="0" xfId="2" applyNumberFormat="1" applyFont="1" applyFill="1" applyBorder="1"/>
    <xf numFmtId="0" fontId="1" fillId="0" borderId="10" xfId="0" applyFont="1" applyBorder="1"/>
    <xf numFmtId="171" fontId="1" fillId="0" borderId="0" xfId="0" applyNumberFormat="1" applyFont="1"/>
    <xf numFmtId="10" fontId="16" fillId="4" borderId="20" xfId="1" applyNumberFormat="1" applyFont="1" applyFill="1" applyBorder="1" applyAlignment="1">
      <alignment horizontal="right"/>
    </xf>
    <xf numFmtId="173" fontId="27" fillId="0" borderId="0" xfId="0" applyNumberFormat="1" applyFont="1" applyAlignment="1">
      <alignment horizontal="center"/>
    </xf>
    <xf numFmtId="173" fontId="9" fillId="0" borderId="0" xfId="0" applyNumberFormat="1" applyFont="1" applyAlignment="1">
      <alignment horizontal="center"/>
    </xf>
    <xf numFmtId="174" fontId="16" fillId="4" borderId="20" xfId="1" applyNumberFormat="1" applyFont="1" applyFill="1" applyBorder="1" applyAlignment="1">
      <alignment horizontal="right"/>
    </xf>
    <xf numFmtId="0" fontId="16" fillId="0" borderId="0" xfId="0" applyFont="1" applyAlignment="1">
      <alignment horizontal="center"/>
    </xf>
    <xf numFmtId="0" fontId="25" fillId="0" borderId="0" xfId="4"/>
    <xf numFmtId="0" fontId="8" fillId="0" borderId="16" xfId="0" applyFont="1" applyBorder="1"/>
    <xf numFmtId="0" fontId="1" fillId="0" borderId="10" xfId="0" applyFont="1" applyBorder="1" applyAlignment="1">
      <alignment horizontal="center"/>
    </xf>
    <xf numFmtId="1" fontId="16" fillId="0" borderId="10" xfId="1" applyNumberFormat="1" applyFont="1" applyFill="1" applyBorder="1" applyAlignment="1">
      <alignment horizontal="center"/>
    </xf>
    <xf numFmtId="10" fontId="16" fillId="0" borderId="10" xfId="1" applyNumberFormat="1" applyFont="1" applyFill="1" applyBorder="1" applyAlignment="1">
      <alignment horizontal="center"/>
    </xf>
    <xf numFmtId="0" fontId="16" fillId="0" borderId="10" xfId="0" applyFont="1" applyBorder="1" applyAlignment="1">
      <alignment horizontal="center"/>
    </xf>
    <xf numFmtId="1" fontId="16" fillId="0" borderId="0" xfId="1" applyNumberFormat="1" applyFont="1" applyFill="1" applyBorder="1" applyAlignment="1">
      <alignment horizontal="center"/>
    </xf>
    <xf numFmtId="10" fontId="16" fillId="0" borderId="0" xfId="1" applyNumberFormat="1" applyFont="1" applyFill="1" applyBorder="1" applyAlignment="1">
      <alignment horizontal="center"/>
    </xf>
    <xf numFmtId="175" fontId="1" fillId="0" borderId="0" xfId="0" applyNumberFormat="1" applyFont="1"/>
    <xf numFmtId="0" fontId="34" fillId="0" borderId="0" xfId="0" applyFont="1"/>
    <xf numFmtId="171" fontId="28" fillId="0" borderId="0" xfId="0" applyNumberFormat="1" applyFont="1"/>
    <xf numFmtId="176" fontId="16" fillId="4" borderId="20" xfId="2" applyNumberFormat="1" applyFont="1" applyFill="1" applyBorder="1"/>
    <xf numFmtId="0" fontId="30" fillId="0" borderId="18" xfId="0" applyFont="1" applyBorder="1" applyAlignment="1">
      <alignment horizontal="center"/>
    </xf>
    <xf numFmtId="169" fontId="1" fillId="0" borderId="18" xfId="2" applyNumberFormat="1" applyFont="1" applyFill="1" applyBorder="1"/>
    <xf numFmtId="0" fontId="35" fillId="0" borderId="0" xfId="0" applyFont="1"/>
    <xf numFmtId="0" fontId="31" fillId="0" borderId="1" xfId="0" applyFont="1" applyBorder="1" applyAlignment="1">
      <alignment horizontal="center"/>
    </xf>
    <xf numFmtId="169" fontId="9" fillId="0" borderId="1" xfId="2" applyNumberFormat="1" applyFont="1" applyBorder="1" applyAlignment="1">
      <alignment horizontal="right"/>
    </xf>
    <xf numFmtId="177" fontId="1" fillId="0" borderId="0" xfId="0" applyNumberFormat="1" applyFont="1"/>
    <xf numFmtId="0" fontId="1" fillId="0" borderId="0" xfId="1" applyNumberFormat="1" applyFont="1" applyFill="1" applyBorder="1"/>
    <xf numFmtId="165" fontId="1" fillId="0" borderId="0" xfId="1" applyNumberFormat="1" applyFont="1" applyAlignment="1">
      <alignment horizontal="right"/>
    </xf>
    <xf numFmtId="169" fontId="16" fillId="4" borderId="30" xfId="2" applyNumberFormat="1" applyFont="1" applyFill="1" applyBorder="1"/>
    <xf numFmtId="10" fontId="1" fillId="0" borderId="0" xfId="1" applyNumberFormat="1" applyFont="1" applyFill="1" applyBorder="1"/>
    <xf numFmtId="176" fontId="1" fillId="0" borderId="0" xfId="2" applyNumberFormat="1" applyFont="1" applyFill="1" applyBorder="1"/>
    <xf numFmtId="170" fontId="1" fillId="0" borderId="0" xfId="0" applyNumberFormat="1" applyFont="1" applyAlignment="1">
      <alignment horizontal="right"/>
    </xf>
    <xf numFmtId="177" fontId="1" fillId="0" borderId="0" xfId="2" applyNumberFormat="1" applyFont="1" applyFill="1" applyBorder="1"/>
    <xf numFmtId="0" fontId="9" fillId="0" borderId="8" xfId="0" applyFont="1" applyBorder="1" applyAlignment="1">
      <alignment horizontal="center"/>
    </xf>
    <xf numFmtId="177" fontId="9" fillId="0" borderId="8" xfId="2" applyNumberFormat="1" applyFont="1" applyFill="1" applyBorder="1"/>
    <xf numFmtId="169" fontId="1" fillId="0" borderId="0" xfId="0" applyNumberFormat="1" applyFont="1"/>
    <xf numFmtId="167" fontId="9" fillId="0" borderId="0" xfId="0" applyNumberFormat="1" applyFont="1" applyAlignment="1">
      <alignment horizontal="left"/>
    </xf>
    <xf numFmtId="0" fontId="28" fillId="0" borderId="15" xfId="0" applyFont="1" applyBorder="1"/>
    <xf numFmtId="169" fontId="18" fillId="0" borderId="0" xfId="2" applyNumberFormat="1" applyFont="1"/>
    <xf numFmtId="10" fontId="18" fillId="9" borderId="20" xfId="1" applyNumberFormat="1" applyFont="1" applyFill="1" applyBorder="1" applyAlignment="1">
      <alignment horizontal="center"/>
    </xf>
    <xf numFmtId="165" fontId="1" fillId="0" borderId="0" xfId="0" applyNumberFormat="1" applyFont="1"/>
    <xf numFmtId="173" fontId="1" fillId="0" borderId="0" xfId="0" applyNumberFormat="1" applyFont="1" applyAlignment="1">
      <alignment horizontal="right"/>
    </xf>
    <xf numFmtId="164" fontId="1" fillId="0" borderId="0" xfId="0" applyNumberFormat="1" applyFont="1"/>
    <xf numFmtId="0" fontId="1" fillId="0" borderId="8" xfId="0" applyFont="1" applyBorder="1"/>
    <xf numFmtId="172" fontId="9" fillId="0" borderId="0" xfId="0" applyNumberFormat="1" applyFont="1"/>
    <xf numFmtId="172" fontId="9" fillId="0" borderId="31" xfId="0" applyNumberFormat="1" applyFont="1" applyBorder="1"/>
    <xf numFmtId="169" fontId="1" fillId="9" borderId="20" xfId="2" applyNumberFormat="1" applyFont="1" applyFill="1" applyBorder="1" applyAlignment="1">
      <alignment horizontal="center"/>
    </xf>
    <xf numFmtId="10" fontId="1" fillId="0" borderId="0" xfId="0" applyNumberFormat="1" applyFont="1" applyAlignment="1">
      <alignment horizontal="center"/>
    </xf>
    <xf numFmtId="169" fontId="0" fillId="9" borderId="24" xfId="2" applyNumberFormat="1" applyFont="1" applyFill="1" applyBorder="1" applyAlignment="1">
      <alignment horizontal="center"/>
    </xf>
    <xf numFmtId="10" fontId="1" fillId="0" borderId="0" xfId="0" applyNumberFormat="1" applyFont="1"/>
    <xf numFmtId="9" fontId="1" fillId="0" borderId="0" xfId="0" applyNumberFormat="1" applyFont="1"/>
    <xf numFmtId="43" fontId="1" fillId="0" borderId="0" xfId="0" applyNumberFormat="1" applyFont="1"/>
    <xf numFmtId="0" fontId="1" fillId="0" borderId="12" xfId="0" applyFont="1" applyBorder="1" applyAlignment="1">
      <alignment horizontal="center"/>
    </xf>
    <xf numFmtId="0" fontId="1" fillId="3" borderId="0" xfId="0" applyFont="1" applyFill="1"/>
    <xf numFmtId="0" fontId="1" fillId="3" borderId="0" xfId="0" applyFont="1" applyFill="1" applyAlignment="1">
      <alignment horizontal="center"/>
    </xf>
    <xf numFmtId="165" fontId="22" fillId="0" borderId="0" xfId="1" applyNumberFormat="1" applyFont="1" applyFill="1" applyBorder="1"/>
    <xf numFmtId="0" fontId="1" fillId="11" borderId="0" xfId="0" applyFont="1" applyFill="1"/>
    <xf numFmtId="1" fontId="1" fillId="10" borderId="0" xfId="0" applyNumberFormat="1" applyFont="1" applyFill="1"/>
    <xf numFmtId="0" fontId="1" fillId="0" borderId="1" xfId="0" applyFont="1" applyBorder="1"/>
    <xf numFmtId="0" fontId="1" fillId="0" borderId="1" xfId="0" applyFont="1" applyBorder="1" applyAlignment="1">
      <alignment horizontal="center"/>
    </xf>
    <xf numFmtId="0" fontId="1" fillId="0" borderId="18" xfId="0" applyFont="1" applyBorder="1" applyAlignment="1">
      <alignment horizontal="center"/>
    </xf>
    <xf numFmtId="0" fontId="37" fillId="0" borderId="0" xfId="0" applyFont="1"/>
    <xf numFmtId="0" fontId="1" fillId="0" borderId="8" xfId="0" applyFont="1" applyBorder="1" applyAlignment="1">
      <alignment horizontal="center"/>
    </xf>
    <xf numFmtId="0" fontId="17" fillId="0" borderId="0" xfId="0" applyFont="1"/>
    <xf numFmtId="0" fontId="17" fillId="0" borderId="15" xfId="0" applyFont="1" applyBorder="1" applyAlignment="1">
      <alignment horizontal="center"/>
    </xf>
    <xf numFmtId="2" fontId="16" fillId="0" borderId="0" xfId="1" applyNumberFormat="1" applyFont="1" applyFill="1" applyBorder="1" applyAlignment="1">
      <alignment horizontal="center"/>
    </xf>
    <xf numFmtId="174" fontId="16" fillId="4" borderId="20" xfId="1" applyNumberFormat="1" applyFont="1" applyFill="1" applyBorder="1" applyAlignment="1">
      <alignment horizontal="center"/>
    </xf>
    <xf numFmtId="166" fontId="1" fillId="0" borderId="0" xfId="2" applyNumberFormat="1" applyFont="1" applyFill="1" applyBorder="1"/>
    <xf numFmtId="166" fontId="1" fillId="0" borderId="0" xfId="0" applyNumberFormat="1" applyFont="1"/>
    <xf numFmtId="178" fontId="16" fillId="4" borderId="20" xfId="0" applyNumberFormat="1" applyFont="1" applyFill="1" applyBorder="1"/>
    <xf numFmtId="1" fontId="1" fillId="0" borderId="18" xfId="0" applyNumberFormat="1" applyFont="1" applyBorder="1"/>
    <xf numFmtId="0" fontId="1" fillId="0" borderId="4" xfId="0" applyFont="1" applyBorder="1"/>
    <xf numFmtId="1" fontId="1" fillId="0" borderId="4" xfId="0" applyNumberFormat="1" applyFont="1" applyBorder="1"/>
    <xf numFmtId="0" fontId="1" fillId="0" borderId="19" xfId="0" applyFont="1" applyBorder="1"/>
    <xf numFmtId="2" fontId="1" fillId="0" borderId="10" xfId="0" applyNumberFormat="1" applyFont="1" applyBorder="1"/>
    <xf numFmtId="1" fontId="1" fillId="6" borderId="20" xfId="1" applyNumberFormat="1" applyFont="1" applyFill="1" applyBorder="1"/>
    <xf numFmtId="1" fontId="1" fillId="0" borderId="21" xfId="1" applyNumberFormat="1" applyFont="1" applyFill="1" applyBorder="1"/>
    <xf numFmtId="1" fontId="1" fillId="0" borderId="0" xfId="1" applyNumberFormat="1" applyFont="1" applyFill="1" applyBorder="1"/>
    <xf numFmtId="2" fontId="1" fillId="0" borderId="0" xfId="1" applyNumberFormat="1" applyFont="1" applyFill="1" applyBorder="1"/>
    <xf numFmtId="2" fontId="1" fillId="0" borderId="0" xfId="1" quotePrefix="1" applyNumberFormat="1" applyFont="1" applyFill="1" applyBorder="1" applyAlignment="1">
      <alignment horizontal="center"/>
    </xf>
    <xf numFmtId="166" fontId="1" fillId="6" borderId="20" xfId="2" applyNumberFormat="1" applyFont="1" applyFill="1" applyBorder="1"/>
    <xf numFmtId="2" fontId="1" fillId="0" borderId="0" xfId="1" applyNumberFormat="1" applyFont="1" applyFill="1" applyBorder="1" applyAlignment="1">
      <alignment horizontal="center"/>
    </xf>
    <xf numFmtId="1" fontId="18" fillId="6" borderId="32" xfId="0" applyNumberFormat="1" applyFont="1" applyFill="1" applyBorder="1"/>
    <xf numFmtId="1" fontId="18" fillId="6" borderId="33" xfId="0" applyNumberFormat="1" applyFont="1" applyFill="1" applyBorder="1"/>
    <xf numFmtId="41" fontId="1" fillId="0" borderId="0" xfId="3" applyFont="1"/>
    <xf numFmtId="41" fontId="1" fillId="0" borderId="0" xfId="0" applyNumberFormat="1" applyFont="1"/>
    <xf numFmtId="9" fontId="1" fillId="0" borderId="0" xfId="1" applyFont="1"/>
    <xf numFmtId="1" fontId="1" fillId="0" borderId="15" xfId="0" applyNumberFormat="1" applyFont="1" applyBorder="1"/>
    <xf numFmtId="166" fontId="1" fillId="0" borderId="0" xfId="2" applyNumberFormat="1" applyFont="1"/>
    <xf numFmtId="0" fontId="38" fillId="0" borderId="0" xfId="0" applyFont="1" applyAlignment="1">
      <alignment horizontal="right"/>
    </xf>
    <xf numFmtId="0" fontId="13" fillId="0" borderId="0" xfId="0" applyFont="1"/>
    <xf numFmtId="10" fontId="38" fillId="0" borderId="0" xfId="2" applyNumberFormat="1" applyFont="1" applyFill="1" applyBorder="1"/>
    <xf numFmtId="172" fontId="13" fillId="0" borderId="10" xfId="2" applyNumberFormat="1" applyFont="1" applyFill="1" applyBorder="1"/>
    <xf numFmtId="10" fontId="38" fillId="0" borderId="10" xfId="2" applyNumberFormat="1" applyFont="1" applyFill="1" applyBorder="1"/>
    <xf numFmtId="0" fontId="38" fillId="0" borderId="10" xfId="0" applyFont="1" applyBorder="1" applyAlignment="1">
      <alignment horizontal="right"/>
    </xf>
    <xf numFmtId="0" fontId="39" fillId="0" borderId="0" xfId="0" applyFont="1" applyAlignment="1">
      <alignment horizontal="left"/>
    </xf>
    <xf numFmtId="165" fontId="40" fillId="0" borderId="0" xfId="1" applyNumberFormat="1" applyFont="1" applyFill="1" applyBorder="1"/>
    <xf numFmtId="0" fontId="39" fillId="0" borderId="0" xfId="0" applyFont="1" applyAlignment="1">
      <alignment horizontal="right"/>
    </xf>
    <xf numFmtId="170" fontId="40" fillId="0" borderId="0" xfId="0" applyNumberFormat="1" applyFont="1"/>
    <xf numFmtId="9" fontId="0" fillId="0" borderId="0" xfId="0" applyNumberFormat="1"/>
    <xf numFmtId="171" fontId="1" fillId="0" borderId="0" xfId="2" applyNumberFormat="1" applyFont="1" applyFill="1" applyBorder="1" applyAlignment="1">
      <alignment horizontal="center"/>
    </xf>
    <xf numFmtId="172" fontId="1" fillId="0" borderId="0" xfId="0" applyNumberFormat="1" applyFont="1" applyAlignment="1">
      <alignment horizontal="center"/>
    </xf>
    <xf numFmtId="165" fontId="29" fillId="0" borderId="18" xfId="1" applyNumberFormat="1" applyFont="1" applyFill="1" applyBorder="1" applyAlignment="1">
      <alignment horizontal="center"/>
    </xf>
    <xf numFmtId="169" fontId="9" fillId="11" borderId="0" xfId="2" applyNumberFormat="1" applyFont="1" applyFill="1" applyBorder="1"/>
    <xf numFmtId="169" fontId="1" fillId="11" borderId="0" xfId="2" applyNumberFormat="1" applyFont="1" applyFill="1" applyAlignment="1">
      <alignment horizontal="right"/>
    </xf>
    <xf numFmtId="169" fontId="1" fillId="11" borderId="18" xfId="2" applyNumberFormat="1" applyFont="1" applyFill="1" applyBorder="1" applyAlignment="1">
      <alignment horizontal="center"/>
    </xf>
    <xf numFmtId="169" fontId="9" fillId="11" borderId="10" xfId="2" applyNumberFormat="1" applyFont="1" applyFill="1" applyBorder="1"/>
    <xf numFmtId="10" fontId="39" fillId="0" borderId="0" xfId="1" applyNumberFormat="1" applyFont="1" applyFill="1" applyBorder="1"/>
    <xf numFmtId="0" fontId="33" fillId="0" borderId="0" xfId="0" applyFont="1"/>
    <xf numFmtId="166" fontId="33" fillId="0" borderId="0" xfId="0" applyNumberFormat="1" applyFont="1"/>
    <xf numFmtId="169" fontId="33" fillId="0" borderId="0" xfId="2" applyNumberFormat="1" applyFont="1" applyFill="1" applyBorder="1"/>
    <xf numFmtId="169" fontId="33" fillId="0" borderId="0" xfId="2" applyNumberFormat="1" applyFont="1" applyBorder="1" applyAlignment="1">
      <alignment horizontal="right"/>
    </xf>
    <xf numFmtId="167" fontId="1" fillId="0" borderId="0" xfId="1" applyNumberFormat="1" applyFont="1" applyFill="1" applyBorder="1"/>
    <xf numFmtId="0" fontId="1" fillId="0" borderId="34" xfId="0" applyFont="1" applyBorder="1"/>
    <xf numFmtId="0" fontId="1" fillId="0" borderId="35" xfId="0" applyFont="1" applyBorder="1"/>
    <xf numFmtId="0" fontId="33" fillId="0" borderId="35" xfId="0" applyFont="1" applyBorder="1"/>
    <xf numFmtId="0" fontId="1" fillId="0" borderId="36" xfId="0" applyFont="1" applyBorder="1"/>
    <xf numFmtId="0" fontId="33" fillId="0" borderId="37" xfId="0" applyFont="1" applyBorder="1"/>
    <xf numFmtId="166" fontId="33" fillId="0" borderId="37" xfId="0" applyNumberFormat="1" applyFont="1" applyBorder="1"/>
    <xf numFmtId="169" fontId="33" fillId="0" borderId="37" xfId="2" applyNumberFormat="1" applyFont="1" applyFill="1" applyBorder="1"/>
    <xf numFmtId="0" fontId="33" fillId="0" borderId="38" xfId="0" applyFont="1" applyBorder="1"/>
    <xf numFmtId="0" fontId="1" fillId="0" borderId="39" xfId="0" applyFont="1" applyBorder="1"/>
    <xf numFmtId="0" fontId="1" fillId="0" borderId="40" xfId="0" applyFont="1" applyBorder="1"/>
    <xf numFmtId="10" fontId="1" fillId="0" borderId="40" xfId="1" applyNumberFormat="1" applyFont="1" applyFill="1" applyBorder="1"/>
    <xf numFmtId="176" fontId="1" fillId="0" borderId="40" xfId="2" applyNumberFormat="1" applyFont="1" applyFill="1" applyBorder="1"/>
    <xf numFmtId="0" fontId="1" fillId="0" borderId="41" xfId="0" applyFont="1" applyBorder="1"/>
    <xf numFmtId="169" fontId="9" fillId="0" borderId="31" xfId="2" applyNumberFormat="1" applyFont="1" applyFill="1" applyBorder="1"/>
    <xf numFmtId="0" fontId="38" fillId="0" borderId="10" xfId="0" applyFont="1" applyBorder="1" applyAlignment="1">
      <alignment horizontal="center"/>
    </xf>
    <xf numFmtId="0" fontId="31" fillId="0" borderId="31" xfId="0" applyFont="1" applyBorder="1" applyAlignment="1">
      <alignment horizontal="center"/>
    </xf>
    <xf numFmtId="0" fontId="38" fillId="0" borderId="40" xfId="0" applyFont="1" applyBorder="1" applyAlignment="1">
      <alignment horizontal="center"/>
    </xf>
    <xf numFmtId="0" fontId="39" fillId="0" borderId="0" xfId="0" applyFont="1" applyAlignment="1">
      <alignment horizontal="center"/>
    </xf>
    <xf numFmtId="10" fontId="38" fillId="0" borderId="0" xfId="2" applyNumberFormat="1" applyFont="1" applyFill="1" applyBorder="1" applyAlignment="1">
      <alignment horizontal="center"/>
    </xf>
    <xf numFmtId="169" fontId="7" fillId="12" borderId="8" xfId="2" applyNumberFormat="1" applyFont="1" applyFill="1" applyBorder="1"/>
    <xf numFmtId="1" fontId="7" fillId="12" borderId="20" xfId="0" applyNumberFormat="1" applyFont="1" applyFill="1" applyBorder="1"/>
    <xf numFmtId="176" fontId="16" fillId="4" borderId="42" xfId="2" applyNumberFormat="1" applyFont="1" applyFill="1" applyBorder="1"/>
    <xf numFmtId="0" fontId="1" fillId="11" borderId="0" xfId="0" quotePrefix="1" applyFont="1" applyFill="1"/>
    <xf numFmtId="176" fontId="16" fillId="0" borderId="20" xfId="2" applyNumberFormat="1" applyFont="1" applyFill="1" applyBorder="1"/>
    <xf numFmtId="169" fontId="33" fillId="0" borderId="0" xfId="2" applyNumberFormat="1" applyFont="1" applyFill="1" applyBorder="1" applyAlignment="1">
      <alignment horizontal="right"/>
    </xf>
    <xf numFmtId="169" fontId="1" fillId="9" borderId="42" xfId="2" applyNumberFormat="1" applyFont="1" applyFill="1" applyBorder="1"/>
    <xf numFmtId="179" fontId="1" fillId="0" borderId="0" xfId="2" applyNumberFormat="1" applyFont="1" applyFill="1" applyBorder="1"/>
    <xf numFmtId="0" fontId="1" fillId="0" borderId="37" xfId="0" applyFont="1" applyBorder="1"/>
    <xf numFmtId="0" fontId="41" fillId="13" borderId="0" xfId="0" applyFont="1" applyFill="1"/>
    <xf numFmtId="0" fontId="0" fillId="0" borderId="34" xfId="0" applyBorder="1" applyAlignment="1">
      <alignment horizontal="right"/>
    </xf>
    <xf numFmtId="9" fontId="0" fillId="0" borderId="45" xfId="0" applyNumberFormat="1" applyBorder="1" applyAlignment="1">
      <alignment horizontal="center"/>
    </xf>
    <xf numFmtId="0" fontId="0" fillId="0" borderId="45" xfId="0" applyBorder="1" applyAlignment="1">
      <alignment horizontal="center"/>
    </xf>
    <xf numFmtId="10" fontId="0" fillId="0" borderId="45" xfId="0" applyNumberFormat="1" applyBorder="1" applyAlignment="1">
      <alignment horizontal="center"/>
    </xf>
    <xf numFmtId="0" fontId="0" fillId="14" borderId="43" xfId="0" applyFill="1" applyBorder="1" applyAlignment="1">
      <alignment horizontal="right"/>
    </xf>
    <xf numFmtId="0" fontId="0" fillId="14" borderId="44" xfId="0" applyFill="1" applyBorder="1" applyAlignment="1">
      <alignment horizontal="center"/>
    </xf>
    <xf numFmtId="0" fontId="0" fillId="14" borderId="34" xfId="0" applyFill="1" applyBorder="1" applyAlignment="1">
      <alignment horizontal="right"/>
    </xf>
    <xf numFmtId="9" fontId="0" fillId="14" borderId="45" xfId="0" applyNumberFormat="1" applyFill="1" applyBorder="1" applyAlignment="1">
      <alignment horizontal="center"/>
    </xf>
    <xf numFmtId="10" fontId="0" fillId="14" borderId="45" xfId="0" applyNumberFormat="1" applyFill="1" applyBorder="1" applyAlignment="1">
      <alignment horizontal="center"/>
    </xf>
    <xf numFmtId="178" fontId="0" fillId="14" borderId="45" xfId="0" applyNumberFormat="1" applyFill="1" applyBorder="1" applyAlignment="1">
      <alignment horizontal="center"/>
    </xf>
    <xf numFmtId="169" fontId="33" fillId="0" borderId="33" xfId="2" applyNumberFormat="1" applyFont="1" applyBorder="1" applyAlignment="1">
      <alignment horizontal="right"/>
    </xf>
    <xf numFmtId="176" fontId="9" fillId="0" borderId="18" xfId="2" applyNumberFormat="1" applyFont="1" applyBorder="1" applyAlignment="1">
      <alignment horizontal="right"/>
    </xf>
    <xf numFmtId="176" fontId="9" fillId="0" borderId="18" xfId="2" applyNumberFormat="1" applyFont="1" applyFill="1" applyBorder="1" applyAlignment="1">
      <alignment horizontal="right"/>
    </xf>
    <xf numFmtId="0" fontId="0" fillId="0" borderId="37" xfId="0" applyBorder="1"/>
    <xf numFmtId="0" fontId="0" fillId="0" borderId="40" xfId="0" applyBorder="1"/>
    <xf numFmtId="0" fontId="7" fillId="13" borderId="0" xfId="0" applyFont="1" applyFill="1"/>
    <xf numFmtId="172" fontId="7" fillId="13" borderId="0" xfId="0" applyNumberFormat="1" applyFont="1" applyFill="1"/>
    <xf numFmtId="0" fontId="42" fillId="0" borderId="0" xfId="0" applyFont="1"/>
    <xf numFmtId="0" fontId="43" fillId="0" borderId="0" xfId="0" applyFont="1"/>
    <xf numFmtId="0" fontId="33" fillId="0" borderId="18" xfId="0" applyFont="1" applyBorder="1"/>
    <xf numFmtId="0" fontId="38" fillId="0" borderId="0" xfId="0" applyFont="1" applyAlignment="1">
      <alignment horizontal="center"/>
    </xf>
    <xf numFmtId="169" fontId="16" fillId="0" borderId="30" xfId="2" applyNumberFormat="1" applyFont="1" applyFill="1" applyBorder="1"/>
    <xf numFmtId="0" fontId="1" fillId="0" borderId="47" xfId="0" applyFont="1" applyBorder="1"/>
    <xf numFmtId="0" fontId="10" fillId="0" borderId="37" xfId="0" applyFont="1" applyBorder="1" applyAlignment="1">
      <alignment horizontal="left"/>
    </xf>
    <xf numFmtId="10" fontId="1" fillId="0" borderId="37" xfId="1" applyNumberFormat="1" applyFont="1" applyFill="1" applyBorder="1"/>
    <xf numFmtId="167" fontId="1" fillId="0" borderId="37" xfId="1" applyNumberFormat="1" applyFont="1" applyFill="1" applyBorder="1"/>
    <xf numFmtId="0" fontId="1" fillId="0" borderId="48" xfId="0" applyFont="1" applyBorder="1"/>
    <xf numFmtId="0" fontId="31" fillId="0" borderId="49" xfId="0" applyFont="1" applyBorder="1" applyAlignment="1">
      <alignment horizontal="center"/>
    </xf>
    <xf numFmtId="178" fontId="0" fillId="0" borderId="45" xfId="0" applyNumberFormat="1" applyBorder="1" applyAlignment="1">
      <alignment horizontal="center"/>
    </xf>
    <xf numFmtId="0" fontId="0" fillId="0" borderId="36" xfId="0" applyBorder="1" applyAlignment="1">
      <alignment horizontal="right"/>
    </xf>
    <xf numFmtId="0" fontId="0" fillId="0" borderId="46" xfId="0" applyBorder="1" applyAlignment="1">
      <alignment horizontal="center"/>
    </xf>
    <xf numFmtId="2" fontId="0" fillId="14" borderId="45" xfId="0" applyNumberFormat="1" applyFill="1" applyBorder="1" applyAlignment="1">
      <alignment horizontal="center"/>
    </xf>
    <xf numFmtId="0" fontId="7" fillId="3" borderId="6" xfId="0" applyFont="1" applyFill="1" applyBorder="1" applyAlignment="1">
      <alignment horizontal="center"/>
    </xf>
    <xf numFmtId="0" fontId="7" fillId="3" borderId="5" xfId="0" applyFont="1" applyFill="1" applyBorder="1" applyAlignment="1">
      <alignment horizontal="center"/>
    </xf>
    <xf numFmtId="0" fontId="7" fillId="3" borderId="27" xfId="0" applyFont="1" applyFill="1" applyBorder="1" applyAlignment="1">
      <alignment horizontal="center"/>
    </xf>
    <xf numFmtId="0" fontId="9" fillId="0" borderId="0" xfId="0" applyFont="1" applyAlignment="1">
      <alignment horizontal="left" vertical="top"/>
    </xf>
    <xf numFmtId="0" fontId="17" fillId="0" borderId="0" xfId="0" applyFont="1" applyAlignment="1">
      <alignment horizontal="left" vertical="top"/>
    </xf>
  </cellXfs>
  <cellStyles count="5">
    <cellStyle name="Comma" xfId="2" builtinId="3"/>
    <cellStyle name="Comma [0]" xfId="3" builtinId="6"/>
    <cellStyle name="Hyperlink" xfId="4" builtinId="8"/>
    <cellStyle name="Normal" xfId="0" builtinId="0"/>
    <cellStyle name="Percent" xfId="1" builtinId="5"/>
  </cellStyles>
  <dxfs count="0"/>
  <tableStyles count="0" defaultTableStyle="TableStyleMedium2" defaultPivotStyle="PivotStyleLight16"/>
  <colors>
    <mruColors>
      <color rgb="FF91EBCB"/>
      <color rgb="FFC8F7ED"/>
      <color rgb="FF86D6AC"/>
      <color rgb="FF009999"/>
      <color rgb="FF59C78D"/>
      <color rgb="FFD1EBFF"/>
      <color rgb="FF449FB9"/>
      <color rgb="FF1F497D"/>
      <color rgb="FF6D95D5"/>
      <color rgb="FF81D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val>
            <c:numRef>
              <c:f>OLD!$E$27:$L$27</c:f>
              <c:numCache>
                <c:formatCode>General</c:formatCode>
                <c:ptCount val="8"/>
                <c:pt idx="0">
                  <c:v>30</c:v>
                </c:pt>
                <c:pt idx="1">
                  <c:v>50</c:v>
                </c:pt>
                <c:pt idx="2">
                  <c:v>40</c:v>
                </c:pt>
                <c:pt idx="3">
                  <c:v>75</c:v>
                </c:pt>
                <c:pt idx="4">
                  <c:v>95</c:v>
                </c:pt>
                <c:pt idx="5">
                  <c:v>155</c:v>
                </c:pt>
                <c:pt idx="6">
                  <c:v>175</c:v>
                </c:pt>
                <c:pt idx="7">
                  <c:v>200</c:v>
                </c:pt>
              </c:numCache>
            </c:numRef>
          </c:val>
          <c:smooth val="0"/>
          <c:extLst>
            <c:ext xmlns:c16="http://schemas.microsoft.com/office/drawing/2014/chart" uri="{C3380CC4-5D6E-409C-BE32-E72D297353CC}">
              <c16:uniqueId val="{00000000-F0D9-4875-B6C1-F32DB16B132F}"/>
            </c:ext>
          </c:extLst>
        </c:ser>
        <c:dLbls>
          <c:showLegendKey val="0"/>
          <c:showVal val="0"/>
          <c:showCatName val="0"/>
          <c:showSerName val="0"/>
          <c:showPercent val="0"/>
          <c:showBubbleSize val="0"/>
        </c:dLbls>
        <c:marker val="1"/>
        <c:smooth val="0"/>
        <c:axId val="244183808"/>
        <c:axId val="244185344"/>
      </c:lineChart>
      <c:catAx>
        <c:axId val="244183808"/>
        <c:scaling>
          <c:orientation val="minMax"/>
        </c:scaling>
        <c:delete val="0"/>
        <c:axPos val="b"/>
        <c:majorTickMark val="out"/>
        <c:minorTickMark val="none"/>
        <c:tickLblPos val="nextTo"/>
        <c:crossAx val="244185344"/>
        <c:crosses val="autoZero"/>
        <c:auto val="1"/>
        <c:lblAlgn val="ctr"/>
        <c:lblOffset val="100"/>
        <c:noMultiLvlLbl val="0"/>
      </c:catAx>
      <c:valAx>
        <c:axId val="244185344"/>
        <c:scaling>
          <c:orientation val="minMax"/>
        </c:scaling>
        <c:delete val="0"/>
        <c:axPos val="l"/>
        <c:majorGridlines/>
        <c:numFmt formatCode="General" sourceLinked="1"/>
        <c:majorTickMark val="out"/>
        <c:minorTickMark val="none"/>
        <c:tickLblPos val="nextTo"/>
        <c:crossAx val="2441838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12</xdr:col>
      <xdr:colOff>76200</xdr:colOff>
      <xdr:row>29</xdr:row>
      <xdr:rowOff>109537</xdr:rowOff>
    </xdr:from>
    <xdr:to>
      <xdr:col>19</xdr:col>
      <xdr:colOff>381000</xdr:colOff>
      <xdr:row>51</xdr:row>
      <xdr:rowOff>185737</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23817</xdr:colOff>
      <xdr:row>10</xdr:row>
      <xdr:rowOff>166687</xdr:rowOff>
    </xdr:from>
    <xdr:to>
      <xdr:col>11</xdr:col>
      <xdr:colOff>590551</xdr:colOff>
      <xdr:row>12</xdr:row>
      <xdr:rowOff>9525</xdr:rowOff>
    </xdr:to>
    <xdr:sp macro="" textlink="">
      <xdr:nvSpPr>
        <xdr:cNvPr id="3" name="Right Brace 2">
          <a:extLst>
            <a:ext uri="{FF2B5EF4-FFF2-40B4-BE49-F238E27FC236}">
              <a16:creationId xmlns:a16="http://schemas.microsoft.com/office/drawing/2014/main" id="{00000000-0008-0000-0200-000003000000}"/>
            </a:ext>
          </a:extLst>
        </xdr:cNvPr>
        <xdr:cNvSpPr/>
      </xdr:nvSpPr>
      <xdr:spPr>
        <a:xfrm rot="16200000">
          <a:off x="7748590" y="1290639"/>
          <a:ext cx="223838" cy="178593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9</xdr:col>
      <xdr:colOff>28575</xdr:colOff>
      <xdr:row>4</xdr:row>
      <xdr:rowOff>152400</xdr:rowOff>
    </xdr:from>
    <xdr:to>
      <xdr:col>11</xdr:col>
      <xdr:colOff>514350</xdr:colOff>
      <xdr:row>10</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972300" y="914400"/>
          <a:ext cx="1704975"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projection comes</a:t>
          </a:r>
          <a:r>
            <a:rPr lang="en-GB" sz="1100" baseline="0"/>
            <a:t> from the management team. Management projections tend to be optimistic.</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4</xdr:row>
      <xdr:rowOff>95250</xdr:rowOff>
    </xdr:from>
    <xdr:to>
      <xdr:col>5</xdr:col>
      <xdr:colOff>342900</xdr:colOff>
      <xdr:row>9</xdr:row>
      <xdr:rowOff>133350</xdr:rowOff>
    </xdr:to>
    <xdr:pic>
      <xdr:nvPicPr>
        <xdr:cNvPr id="2" name="Picture 1">
          <a:extLst>
            <a:ext uri="{FF2B5EF4-FFF2-40B4-BE49-F238E27FC236}">
              <a16:creationId xmlns:a16="http://schemas.microsoft.com/office/drawing/2014/main" id="{ED2D293D-17C0-5517-22AF-77EB7C0F2E94}"/>
            </a:ext>
          </a:extLst>
        </xdr:cNvPr>
        <xdr:cNvPicPr>
          <a:picLocks noChangeAspect="1"/>
        </xdr:cNvPicPr>
      </xdr:nvPicPr>
      <xdr:blipFill>
        <a:blip xmlns:r="http://schemas.openxmlformats.org/officeDocument/2006/relationships" r:embed="rId1"/>
        <a:stretch>
          <a:fillRect/>
        </a:stretch>
      </xdr:blipFill>
      <xdr:spPr>
        <a:xfrm>
          <a:off x="590550" y="1333500"/>
          <a:ext cx="2800350" cy="990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78642</xdr:colOff>
      <xdr:row>1</xdr:row>
      <xdr:rowOff>83737</xdr:rowOff>
    </xdr:from>
    <xdr:to>
      <xdr:col>3</xdr:col>
      <xdr:colOff>924344</xdr:colOff>
      <xdr:row>4</xdr:row>
      <xdr:rowOff>122430</xdr:rowOff>
    </xdr:to>
    <xdr:pic>
      <xdr:nvPicPr>
        <xdr:cNvPr id="4" name="Picture 3">
          <a:extLst>
            <a:ext uri="{FF2B5EF4-FFF2-40B4-BE49-F238E27FC236}">
              <a16:creationId xmlns:a16="http://schemas.microsoft.com/office/drawing/2014/main" id="{8533842E-75BA-4FEF-9F10-CF34B50E766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917" y="293287"/>
          <a:ext cx="1722002" cy="63876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4</xdr:col>
      <xdr:colOff>591079</xdr:colOff>
      <xdr:row>8</xdr:row>
      <xdr:rowOff>15874</xdr:rowOff>
    </xdr:to>
    <xdr:pic>
      <xdr:nvPicPr>
        <xdr:cNvPr id="2" name="Picture 1">
          <a:extLst>
            <a:ext uri="{FF2B5EF4-FFF2-40B4-BE49-F238E27FC236}">
              <a16:creationId xmlns:a16="http://schemas.microsoft.com/office/drawing/2014/main" id="{A1B134EC-B978-43B1-86B9-B50151584F4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238250"/>
          <a:ext cx="2419879" cy="77787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78317</xdr:colOff>
      <xdr:row>1</xdr:row>
      <xdr:rowOff>164043</xdr:rowOff>
    </xdr:from>
    <xdr:to>
      <xdr:col>2</xdr:col>
      <xdr:colOff>2498196</xdr:colOff>
      <xdr:row>5</xdr:row>
      <xdr:rowOff>141817</xdr:rowOff>
    </xdr:to>
    <xdr:pic>
      <xdr:nvPicPr>
        <xdr:cNvPr id="2" name="Picture 1">
          <a:extLst>
            <a:ext uri="{FF2B5EF4-FFF2-40B4-BE49-F238E27FC236}">
              <a16:creationId xmlns:a16="http://schemas.microsoft.com/office/drawing/2014/main" id="{79CFF1FA-3A6B-4AA7-B5FB-B0E24EAD2D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942" y="364068"/>
          <a:ext cx="2419879" cy="77787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78317</xdr:colOff>
      <xdr:row>1</xdr:row>
      <xdr:rowOff>164043</xdr:rowOff>
    </xdr:from>
    <xdr:to>
      <xdr:col>2</xdr:col>
      <xdr:colOff>2498196</xdr:colOff>
      <xdr:row>5</xdr:row>
      <xdr:rowOff>141817</xdr:rowOff>
    </xdr:to>
    <xdr:pic>
      <xdr:nvPicPr>
        <xdr:cNvPr id="2" name="Picture 1">
          <a:extLst>
            <a:ext uri="{FF2B5EF4-FFF2-40B4-BE49-F238E27FC236}">
              <a16:creationId xmlns:a16="http://schemas.microsoft.com/office/drawing/2014/main" id="{3BFF2D50-B262-4BFF-A177-E4C6A7BF51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942" y="364068"/>
          <a:ext cx="2419879" cy="777874"/>
        </a:xfrm>
        <a:prstGeom prst="rect">
          <a:avLst/>
        </a:prstGeom>
        <a:noFill/>
        <a:ln>
          <a:noFill/>
        </a:ln>
      </xdr:spPr>
    </xdr:pic>
    <xdr:clientData/>
  </xdr:twoCellAnchor>
  <xdr:twoCellAnchor editAs="oneCell">
    <xdr:from>
      <xdr:col>24</xdr:col>
      <xdr:colOff>561975</xdr:colOff>
      <xdr:row>1</xdr:row>
      <xdr:rowOff>57150</xdr:rowOff>
    </xdr:from>
    <xdr:to>
      <xdr:col>36</xdr:col>
      <xdr:colOff>647700</xdr:colOff>
      <xdr:row>32</xdr:row>
      <xdr:rowOff>180975</xdr:rowOff>
    </xdr:to>
    <xdr:pic>
      <xdr:nvPicPr>
        <xdr:cNvPr id="3" name="Image 2">
          <a:extLst>
            <a:ext uri="{FF2B5EF4-FFF2-40B4-BE49-F238E27FC236}">
              <a16:creationId xmlns:a16="http://schemas.microsoft.com/office/drawing/2014/main" id="{6985A9EE-F4D8-469C-A30A-EF563AE6F2CA}"/>
            </a:ext>
            <a:ext uri="{147F2762-F138-4A5C-976F-8EAC2B608ADB}">
              <a16:predDERef xmlns:a16="http://schemas.microsoft.com/office/drawing/2014/main" pred="{3BFF2D50-B262-4BFF-A177-E4C6A7BF5191}"/>
            </a:ext>
          </a:extLst>
        </xdr:cNvPr>
        <xdr:cNvPicPr>
          <a:picLocks noChangeAspect="1"/>
        </xdr:cNvPicPr>
      </xdr:nvPicPr>
      <xdr:blipFill>
        <a:blip xmlns:r="http://schemas.openxmlformats.org/officeDocument/2006/relationships" r:embed="rId2"/>
        <a:stretch>
          <a:fillRect/>
        </a:stretch>
      </xdr:blipFill>
      <xdr:spPr>
        <a:xfrm>
          <a:off x="22498050" y="257175"/>
          <a:ext cx="10258425" cy="6324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552450</xdr:colOff>
      <xdr:row>4</xdr:row>
      <xdr:rowOff>85725</xdr:rowOff>
    </xdr:from>
    <xdr:to>
      <xdr:col>4</xdr:col>
      <xdr:colOff>217170</xdr:colOff>
      <xdr:row>6</xdr:row>
      <xdr:rowOff>111619</xdr:rowOff>
    </xdr:to>
    <xdr:pic>
      <xdr:nvPicPr>
        <xdr:cNvPr id="2" name="Picture 1">
          <a:extLst>
            <a:ext uri="{FF2B5EF4-FFF2-40B4-BE49-F238E27FC236}">
              <a16:creationId xmlns:a16="http://schemas.microsoft.com/office/drawing/2014/main" id="{E93B20FF-0A34-467D-9FBA-5BB03301A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1323975"/>
          <a:ext cx="2103120" cy="4068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14111</xdr:colOff>
      <xdr:row>1</xdr:row>
      <xdr:rowOff>80081</xdr:rowOff>
    </xdr:from>
    <xdr:to>
      <xdr:col>4</xdr:col>
      <xdr:colOff>12206</xdr:colOff>
      <xdr:row>3</xdr:row>
      <xdr:rowOff>86925</xdr:rowOff>
    </xdr:to>
    <xdr:pic>
      <xdr:nvPicPr>
        <xdr:cNvPr id="2" name="Picture 1">
          <a:extLst>
            <a:ext uri="{FF2B5EF4-FFF2-40B4-BE49-F238E27FC236}">
              <a16:creationId xmlns:a16="http://schemas.microsoft.com/office/drawing/2014/main" id="{F4847A94-A6D7-4FB4-88B7-8B52EFB658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386" y="280106"/>
          <a:ext cx="2103120" cy="4068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hyperlink" Target="https://www.euribor-rates.eu/en/" TargetMode="External"/><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N81"/>
  <sheetViews>
    <sheetView workbookViewId="0">
      <selection activeCell="M15" sqref="M15"/>
    </sheetView>
  </sheetViews>
  <sheetFormatPr defaultColWidth="8.85546875" defaultRowHeight="15" outlineLevelRow="1"/>
  <cols>
    <col min="4" max="4" width="31" bestFit="1" customWidth="1"/>
  </cols>
  <sheetData>
    <row r="3" spans="2:14">
      <c r="B3" s="1"/>
      <c r="C3" s="2" t="s">
        <v>0</v>
      </c>
      <c r="D3" s="1"/>
      <c r="E3" s="1"/>
      <c r="F3" s="1"/>
      <c r="G3" s="1"/>
      <c r="H3" s="1"/>
      <c r="I3" s="1"/>
      <c r="J3" s="1"/>
      <c r="K3" s="1"/>
      <c r="L3" s="1"/>
      <c r="M3" s="1"/>
      <c r="N3" s="1"/>
    </row>
    <row r="13" spans="2:14">
      <c r="C13" t="s">
        <v>1</v>
      </c>
      <c r="E13" s="4" t="s">
        <v>2</v>
      </c>
      <c r="F13" s="4" t="s">
        <v>3</v>
      </c>
      <c r="G13" s="4" t="s">
        <v>4</v>
      </c>
      <c r="H13" s="4" t="s">
        <v>5</v>
      </c>
      <c r="I13" s="4" t="s">
        <v>6</v>
      </c>
      <c r="J13" s="4" t="s">
        <v>7</v>
      </c>
      <c r="K13" s="4" t="s">
        <v>8</v>
      </c>
      <c r="L13" s="4" t="s">
        <v>9</v>
      </c>
      <c r="M13" s="6" t="s">
        <v>10</v>
      </c>
    </row>
    <row r="14" spans="2:14">
      <c r="E14" s="4" t="s">
        <v>11</v>
      </c>
      <c r="F14" s="4" t="s">
        <v>11</v>
      </c>
      <c r="G14" s="4" t="s">
        <v>11</v>
      </c>
      <c r="H14" s="4" t="s">
        <v>11</v>
      </c>
      <c r="I14" s="4" t="s">
        <v>11</v>
      </c>
      <c r="J14" s="4" t="s">
        <v>12</v>
      </c>
      <c r="K14" s="4" t="s">
        <v>12</v>
      </c>
      <c r="L14" s="4" t="s">
        <v>12</v>
      </c>
      <c r="M14" s="6"/>
    </row>
    <row r="16" spans="2:14">
      <c r="C16" t="s">
        <v>13</v>
      </c>
      <c r="E16">
        <v>240</v>
      </c>
      <c r="F16">
        <v>340</v>
      </c>
      <c r="G16">
        <v>325</v>
      </c>
      <c r="H16">
        <v>465</v>
      </c>
      <c r="I16">
        <v>590</v>
      </c>
      <c r="J16">
        <v>750</v>
      </c>
      <c r="K16">
        <v>850</v>
      </c>
      <c r="L16">
        <v>945</v>
      </c>
      <c r="M16" t="s">
        <v>14</v>
      </c>
    </row>
    <row r="17" spans="3:13">
      <c r="C17" t="s">
        <v>15</v>
      </c>
    </row>
    <row r="18" spans="3:13">
      <c r="D18" t="s">
        <v>16</v>
      </c>
      <c r="E18">
        <v>130</v>
      </c>
      <c r="F18">
        <v>190</v>
      </c>
      <c r="G18">
        <v>170</v>
      </c>
      <c r="H18">
        <v>245</v>
      </c>
      <c r="I18">
        <v>320</v>
      </c>
      <c r="J18">
        <v>400</v>
      </c>
      <c r="K18">
        <v>455</v>
      </c>
      <c r="L18">
        <v>505</v>
      </c>
    </row>
    <row r="19" spans="3:13">
      <c r="D19" t="s">
        <v>17</v>
      </c>
      <c r="E19">
        <v>40</v>
      </c>
      <c r="F19">
        <v>60</v>
      </c>
      <c r="G19">
        <v>65</v>
      </c>
      <c r="H19">
        <v>95</v>
      </c>
      <c r="I19">
        <v>125</v>
      </c>
      <c r="J19">
        <v>150</v>
      </c>
      <c r="K19">
        <v>170</v>
      </c>
      <c r="L19">
        <v>190</v>
      </c>
    </row>
    <row r="20" spans="3:13">
      <c r="C20" t="s">
        <v>18</v>
      </c>
    </row>
    <row r="21" spans="3:13">
      <c r="D21" t="s">
        <v>19</v>
      </c>
      <c r="E21">
        <v>30</v>
      </c>
      <c r="F21">
        <f>E21</f>
        <v>30</v>
      </c>
      <c r="G21">
        <f>F21</f>
        <v>30</v>
      </c>
      <c r="H21">
        <f>G21</f>
        <v>30</v>
      </c>
      <c r="I21">
        <f>H21</f>
        <v>30</v>
      </c>
      <c r="J21">
        <f>I21</f>
        <v>30</v>
      </c>
      <c r="K21">
        <v>35</v>
      </c>
      <c r="L21">
        <v>35</v>
      </c>
    </row>
    <row r="22" spans="3:13">
      <c r="D22" t="s">
        <v>20</v>
      </c>
      <c r="E22">
        <v>10</v>
      </c>
      <c r="F22">
        <v>10</v>
      </c>
      <c r="G22">
        <v>20</v>
      </c>
      <c r="H22">
        <v>20</v>
      </c>
      <c r="I22">
        <v>20</v>
      </c>
      <c r="J22">
        <v>15</v>
      </c>
      <c r="K22">
        <v>15</v>
      </c>
      <c r="L22">
        <v>15</v>
      </c>
      <c r="M22" t="s">
        <v>21</v>
      </c>
    </row>
    <row r="24" spans="3:13">
      <c r="C24" t="s">
        <v>22</v>
      </c>
      <c r="E24">
        <v>30</v>
      </c>
      <c r="F24">
        <v>50</v>
      </c>
      <c r="G24">
        <v>40</v>
      </c>
      <c r="H24">
        <v>75</v>
      </c>
      <c r="I24">
        <v>95</v>
      </c>
      <c r="J24">
        <f>J16-SUM(J18:J19,J21:J22)</f>
        <v>155</v>
      </c>
      <c r="K24">
        <f>K16-SUM(K18:K19,K21:K22)</f>
        <v>175</v>
      </c>
      <c r="L24">
        <f>L16-SUM(L18:L19,L21:L22)</f>
        <v>200</v>
      </c>
    </row>
    <row r="25" spans="3:13">
      <c r="E25" s="5">
        <f>E24/E16</f>
        <v>0.125</v>
      </c>
      <c r="F25" s="5">
        <f t="shared" ref="F25:L25" si="0">F24/F16</f>
        <v>0.14705882352941177</v>
      </c>
      <c r="G25" s="5">
        <f t="shared" si="0"/>
        <v>0.12307692307692308</v>
      </c>
      <c r="H25" s="5">
        <f t="shared" si="0"/>
        <v>0.16129032258064516</v>
      </c>
      <c r="I25" s="5">
        <f t="shared" si="0"/>
        <v>0.16101694915254236</v>
      </c>
      <c r="J25" s="5">
        <f t="shared" si="0"/>
        <v>0.20666666666666667</v>
      </c>
      <c r="K25" s="5">
        <f t="shared" si="0"/>
        <v>0.20588235294117646</v>
      </c>
      <c r="L25" s="5">
        <f t="shared" si="0"/>
        <v>0.21164021164021163</v>
      </c>
      <c r="M25" t="s">
        <v>23</v>
      </c>
    </row>
    <row r="27" spans="3:13">
      <c r="E27">
        <f>E16-SUM(E18:E19,E21:E22)</f>
        <v>30</v>
      </c>
      <c r="F27">
        <f t="shared" ref="F27:L27" si="1">F16-SUM(F18:F19,F21:F22)</f>
        <v>50</v>
      </c>
      <c r="G27">
        <f t="shared" si="1"/>
        <v>40</v>
      </c>
      <c r="H27">
        <f t="shared" si="1"/>
        <v>75</v>
      </c>
      <c r="I27">
        <f t="shared" si="1"/>
        <v>95</v>
      </c>
      <c r="J27" s="4">
        <f t="shared" si="1"/>
        <v>155</v>
      </c>
      <c r="K27" s="4">
        <f t="shared" si="1"/>
        <v>175</v>
      </c>
      <c r="L27">
        <f t="shared" si="1"/>
        <v>200</v>
      </c>
    </row>
    <row r="28" spans="3:13">
      <c r="E28">
        <f>E18/E16</f>
        <v>0.54166666666666663</v>
      </c>
      <c r="F28">
        <f t="shared" ref="F28:L28" si="2">F18/F16</f>
        <v>0.55882352941176472</v>
      </c>
      <c r="G28">
        <f t="shared" si="2"/>
        <v>0.52307692307692311</v>
      </c>
      <c r="H28">
        <f t="shared" si="2"/>
        <v>0.5268817204301075</v>
      </c>
      <c r="I28">
        <f t="shared" si="2"/>
        <v>0.5423728813559322</v>
      </c>
      <c r="J28">
        <f t="shared" si="2"/>
        <v>0.53333333333333333</v>
      </c>
      <c r="K28">
        <f t="shared" si="2"/>
        <v>0.53529411764705881</v>
      </c>
      <c r="L28">
        <f t="shared" si="2"/>
        <v>0.53439153439153442</v>
      </c>
    </row>
    <row r="29" spans="3:13">
      <c r="E29">
        <f>E19/E16</f>
        <v>0.16666666666666666</v>
      </c>
      <c r="F29">
        <f t="shared" ref="F29:L29" si="3">F19/F16</f>
        <v>0.17647058823529413</v>
      </c>
      <c r="G29">
        <f t="shared" si="3"/>
        <v>0.2</v>
      </c>
      <c r="H29">
        <f t="shared" si="3"/>
        <v>0.20430107526881722</v>
      </c>
      <c r="I29">
        <f t="shared" si="3"/>
        <v>0.21186440677966101</v>
      </c>
      <c r="J29">
        <f t="shared" si="3"/>
        <v>0.2</v>
      </c>
      <c r="K29">
        <f t="shared" si="3"/>
        <v>0.2</v>
      </c>
      <c r="L29">
        <f t="shared" si="3"/>
        <v>0.20105820105820105</v>
      </c>
    </row>
    <row r="31" spans="3:13">
      <c r="C31" t="s">
        <v>24</v>
      </c>
      <c r="E31">
        <v>10</v>
      </c>
      <c r="F31">
        <v>10</v>
      </c>
      <c r="G31">
        <v>40</v>
      </c>
      <c r="H31">
        <v>20</v>
      </c>
      <c r="I31">
        <v>10</v>
      </c>
      <c r="J31">
        <v>10</v>
      </c>
      <c r="K31">
        <v>10</v>
      </c>
      <c r="L31">
        <v>10</v>
      </c>
    </row>
    <row r="32" spans="3:13">
      <c r="C32" t="s">
        <v>25</v>
      </c>
      <c r="E32">
        <v>5</v>
      </c>
      <c r="F32">
        <v>10</v>
      </c>
      <c r="G32">
        <v>10</v>
      </c>
      <c r="H32">
        <f>20%*H24</f>
        <v>15</v>
      </c>
      <c r="I32">
        <v>20</v>
      </c>
      <c r="J32">
        <v>30</v>
      </c>
      <c r="K32">
        <v>35</v>
      </c>
      <c r="L32">
        <v>40</v>
      </c>
    </row>
    <row r="36" spans="3:12">
      <c r="C36" s="3" t="s">
        <v>26</v>
      </c>
      <c r="D36" s="3"/>
    </row>
    <row r="37" spans="3:12">
      <c r="C37" s="3"/>
      <c r="D37" s="3" t="s">
        <v>27</v>
      </c>
    </row>
    <row r="38" spans="3:12">
      <c r="D38" t="s">
        <v>28</v>
      </c>
      <c r="E38">
        <v>30</v>
      </c>
      <c r="F38">
        <v>45</v>
      </c>
      <c r="G38">
        <v>45</v>
      </c>
      <c r="H38">
        <v>55</v>
      </c>
      <c r="I38">
        <v>70</v>
      </c>
      <c r="J38">
        <v>90</v>
      </c>
      <c r="K38">
        <v>100</v>
      </c>
      <c r="L38">
        <v>110</v>
      </c>
    </row>
    <row r="39" spans="3:12">
      <c r="D39" t="s">
        <v>29</v>
      </c>
      <c r="E39">
        <v>20</v>
      </c>
      <c r="F39">
        <v>30</v>
      </c>
      <c r="G39">
        <v>30</v>
      </c>
      <c r="H39">
        <v>35</v>
      </c>
      <c r="I39">
        <v>44.999999999999993</v>
      </c>
      <c r="J39">
        <v>55</v>
      </c>
      <c r="K39">
        <v>65</v>
      </c>
      <c r="L39">
        <v>75</v>
      </c>
    </row>
    <row r="40" spans="3:12">
      <c r="C40" s="3"/>
      <c r="D40" s="3" t="s">
        <v>30</v>
      </c>
    </row>
    <row r="41" spans="3:12" hidden="1" outlineLevel="1">
      <c r="C41" s="3" t="s">
        <v>31</v>
      </c>
      <c r="D41" s="3"/>
    </row>
    <row r="42" spans="3:12" hidden="1" outlineLevel="1">
      <c r="C42" s="3"/>
      <c r="D42" s="3" t="s">
        <v>32</v>
      </c>
    </row>
    <row r="43" spans="3:12" hidden="1" outlineLevel="1">
      <c r="C43" s="3"/>
      <c r="D43" s="3" t="s">
        <v>33</v>
      </c>
    </row>
    <row r="44" spans="3:12" hidden="1" outlineLevel="1">
      <c r="C44" s="3"/>
      <c r="D44" s="3" t="s">
        <v>34</v>
      </c>
    </row>
    <row r="45" spans="3:12" hidden="1" outlineLevel="1">
      <c r="C45" s="3"/>
      <c r="D45" s="3" t="s">
        <v>35</v>
      </c>
    </row>
    <row r="46" spans="3:12" hidden="1" outlineLevel="1">
      <c r="C46" s="3" t="s">
        <v>36</v>
      </c>
      <c r="D46" s="3"/>
    </row>
    <row r="47" spans="3:12" hidden="1" outlineLevel="1">
      <c r="C47" s="3"/>
      <c r="D47" s="3" t="s">
        <v>37</v>
      </c>
    </row>
    <row r="48" spans="3:12" hidden="1" outlineLevel="1">
      <c r="C48" s="3"/>
      <c r="D48" s="3"/>
    </row>
    <row r="49" spans="3:12" collapsed="1">
      <c r="C49" s="3" t="s">
        <v>38</v>
      </c>
      <c r="D49" s="3"/>
    </row>
    <row r="50" spans="3:12">
      <c r="C50" s="3"/>
      <c r="D50" s="3"/>
    </row>
    <row r="51" spans="3:12">
      <c r="C51" s="3" t="s">
        <v>39</v>
      </c>
      <c r="D51" s="3"/>
    </row>
    <row r="52" spans="3:12">
      <c r="D52" t="s">
        <v>40</v>
      </c>
      <c r="E52">
        <v>10</v>
      </c>
      <c r="F52">
        <v>15</v>
      </c>
      <c r="G52">
        <v>10</v>
      </c>
      <c r="H52">
        <v>15</v>
      </c>
      <c r="I52">
        <v>25</v>
      </c>
      <c r="J52">
        <v>30</v>
      </c>
      <c r="K52">
        <v>35</v>
      </c>
      <c r="L52">
        <v>40</v>
      </c>
    </row>
    <row r="53" spans="3:12">
      <c r="C53" s="3"/>
      <c r="D53" s="3" t="s">
        <v>41</v>
      </c>
    </row>
    <row r="54" spans="3:12">
      <c r="C54" s="3"/>
      <c r="D54" s="3" t="s">
        <v>42</v>
      </c>
    </row>
    <row r="55" spans="3:12">
      <c r="C55" s="3" t="s">
        <v>43</v>
      </c>
      <c r="D55" s="3"/>
    </row>
    <row r="56" spans="3:12">
      <c r="C56" s="3"/>
      <c r="D56" s="3" t="s">
        <v>44</v>
      </c>
    </row>
    <row r="57" spans="3:12">
      <c r="C57" s="3"/>
      <c r="D57" s="3" t="s">
        <v>45</v>
      </c>
    </row>
    <row r="58" spans="3:12">
      <c r="C58" s="3" t="s">
        <v>46</v>
      </c>
      <c r="D58" s="3"/>
    </row>
    <row r="60" spans="3:12">
      <c r="D60" t="s">
        <v>47</v>
      </c>
      <c r="E60">
        <f>E38+E39-E52</f>
        <v>40</v>
      </c>
      <c r="F60">
        <f t="shared" ref="F60:L60" si="4">F38+F39-F52</f>
        <v>60</v>
      </c>
      <c r="G60">
        <f t="shared" si="4"/>
        <v>65</v>
      </c>
      <c r="H60">
        <f t="shared" si="4"/>
        <v>75</v>
      </c>
      <c r="I60">
        <f t="shared" si="4"/>
        <v>90</v>
      </c>
      <c r="J60">
        <f t="shared" si="4"/>
        <v>115</v>
      </c>
      <c r="K60">
        <f t="shared" si="4"/>
        <v>130</v>
      </c>
      <c r="L60">
        <f t="shared" si="4"/>
        <v>145</v>
      </c>
    </row>
    <row r="61" spans="3:12">
      <c r="D61" t="s">
        <v>48</v>
      </c>
      <c r="F61">
        <f>F60-E60</f>
        <v>20</v>
      </c>
      <c r="G61">
        <f t="shared" ref="G61:L61" si="5">G60-F60</f>
        <v>5</v>
      </c>
      <c r="H61">
        <f t="shared" si="5"/>
        <v>10</v>
      </c>
      <c r="I61">
        <f t="shared" si="5"/>
        <v>15</v>
      </c>
      <c r="J61">
        <f t="shared" si="5"/>
        <v>25</v>
      </c>
      <c r="K61">
        <f t="shared" si="5"/>
        <v>15</v>
      </c>
      <c r="L61">
        <f t="shared" si="5"/>
        <v>15</v>
      </c>
    </row>
    <row r="73" spans="3:3">
      <c r="C73" t="s">
        <v>49</v>
      </c>
    </row>
    <row r="74" spans="3:3">
      <c r="C74" t="s">
        <v>50</v>
      </c>
    </row>
    <row r="75" spans="3:3">
      <c r="C75" t="s">
        <v>51</v>
      </c>
    </row>
    <row r="76" spans="3:3">
      <c r="C76" t="s">
        <v>52</v>
      </c>
    </row>
    <row r="80" spans="3:3">
      <c r="C80" t="s">
        <v>53</v>
      </c>
    </row>
    <row r="81" spans="3:3">
      <c r="C81" t="s">
        <v>54</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9DA5-776E-49DD-8D45-538537E20053}">
  <sheetPr>
    <tabColor theme="5" tint="0.79998168889431442"/>
  </sheetPr>
  <dimension ref="B2:W122"/>
  <sheetViews>
    <sheetView showGridLines="0" topLeftCell="A100" zoomScale="115" zoomScaleNormal="115" workbookViewId="0">
      <selection activeCell="G119" sqref="G119"/>
    </sheetView>
  </sheetViews>
  <sheetFormatPr defaultColWidth="12.7109375" defaultRowHeight="15.75"/>
  <cols>
    <col min="1" max="1" width="3.42578125" style="74" customWidth="1"/>
    <col min="2" max="2" width="3" style="74" customWidth="1"/>
    <col min="3" max="3" width="43" style="74" customWidth="1"/>
    <col min="4" max="4" width="9.85546875" style="74" customWidth="1"/>
    <col min="5" max="6" width="10.28515625" style="74" customWidth="1"/>
    <col min="7" max="7" width="19" style="74" customWidth="1"/>
    <col min="8" max="18" width="10.28515625" style="74" customWidth="1"/>
    <col min="19" max="19" width="3.5703125" style="74" customWidth="1"/>
    <col min="20" max="20" width="62.5703125" style="74" bestFit="1" customWidth="1"/>
    <col min="21" max="16384" width="12.7109375" style="74"/>
  </cols>
  <sheetData>
    <row r="2" spans="2:20">
      <c r="B2" s="86"/>
      <c r="C2" s="87"/>
      <c r="D2" s="87"/>
      <c r="E2" s="87"/>
      <c r="F2" s="87"/>
      <c r="G2" s="87"/>
      <c r="H2" s="87"/>
      <c r="I2" s="87"/>
      <c r="J2" s="87"/>
      <c r="K2" s="87"/>
      <c r="L2" s="87"/>
      <c r="M2" s="87"/>
      <c r="N2" s="87"/>
      <c r="O2" s="87"/>
      <c r="P2" s="87"/>
      <c r="Q2" s="87"/>
      <c r="R2" s="87"/>
      <c r="S2" s="88"/>
    </row>
    <row r="3" spans="2:20">
      <c r="B3" s="89"/>
      <c r="G3" s="90"/>
      <c r="S3" s="91"/>
    </row>
    <row r="4" spans="2:20">
      <c r="B4" s="89"/>
      <c r="G4" s="92"/>
      <c r="S4" s="91"/>
    </row>
    <row r="5" spans="2:20">
      <c r="B5" s="89"/>
      <c r="G5" s="92"/>
      <c r="S5" s="91"/>
    </row>
    <row r="6" spans="2:20">
      <c r="B6" s="89"/>
      <c r="S6" s="91"/>
    </row>
    <row r="7" spans="2:20">
      <c r="B7" s="89"/>
      <c r="G7" s="93"/>
      <c r="S7" s="91"/>
    </row>
    <row r="8" spans="2:20">
      <c r="B8" s="89"/>
      <c r="C8" s="74" t="s">
        <v>59</v>
      </c>
      <c r="D8" s="72">
        <v>5</v>
      </c>
      <c r="F8" s="94"/>
      <c r="G8" s="95"/>
      <c r="S8" s="91"/>
    </row>
    <row r="9" spans="2:20">
      <c r="B9" s="89"/>
      <c r="F9" s="94"/>
      <c r="G9" s="95"/>
      <c r="S9" s="91"/>
    </row>
    <row r="10" spans="2:20">
      <c r="B10" s="40" t="s">
        <v>144</v>
      </c>
      <c r="C10" s="29"/>
      <c r="D10" s="29"/>
      <c r="E10" s="29"/>
      <c r="F10" s="29"/>
      <c r="G10" s="51"/>
      <c r="H10" s="29"/>
      <c r="I10" s="29"/>
      <c r="J10" s="29"/>
      <c r="K10" s="29"/>
      <c r="L10" s="29"/>
      <c r="M10" s="29"/>
      <c r="N10" s="29"/>
      <c r="O10" s="29"/>
      <c r="P10" s="29"/>
      <c r="Q10" s="29"/>
      <c r="R10" s="29"/>
      <c r="S10" s="96"/>
    </row>
    <row r="11" spans="2:20">
      <c r="B11" s="89"/>
      <c r="S11" s="91"/>
    </row>
    <row r="12" spans="2:20">
      <c r="B12" s="89"/>
      <c r="C12" s="30"/>
      <c r="D12" s="30"/>
      <c r="E12" s="30"/>
      <c r="F12" s="325" t="s">
        <v>61</v>
      </c>
      <c r="G12" s="325"/>
      <c r="H12" s="326"/>
      <c r="I12" s="97" t="s">
        <v>145</v>
      </c>
      <c r="J12" s="25"/>
      <c r="K12" s="25"/>
      <c r="L12" s="25"/>
      <c r="M12" s="25"/>
      <c r="N12" s="327" t="s">
        <v>146</v>
      </c>
      <c r="O12" s="325"/>
      <c r="P12" s="325"/>
      <c r="Q12" s="325"/>
      <c r="R12" s="325"/>
      <c r="S12" s="91"/>
    </row>
    <row r="13" spans="2:20">
      <c r="B13" s="89"/>
      <c r="C13" s="30"/>
      <c r="D13" s="30"/>
      <c r="E13" s="30" t="s">
        <v>64</v>
      </c>
      <c r="F13" s="30">
        <v>2021</v>
      </c>
      <c r="G13" s="30">
        <v>2022</v>
      </c>
      <c r="H13" s="27">
        <v>2023</v>
      </c>
      <c r="I13" s="98">
        <v>2024</v>
      </c>
      <c r="J13" s="30">
        <v>2025</v>
      </c>
      <c r="K13" s="30">
        <v>2026</v>
      </c>
      <c r="L13" s="30">
        <v>2027</v>
      </c>
      <c r="M13" s="30">
        <v>2028</v>
      </c>
      <c r="N13" s="99">
        <v>2029</v>
      </c>
      <c r="O13" s="30">
        <v>2030</v>
      </c>
      <c r="P13" s="30">
        <v>2031</v>
      </c>
      <c r="Q13" s="30">
        <v>2032</v>
      </c>
      <c r="R13" s="30">
        <v>2033</v>
      </c>
      <c r="S13" s="91"/>
    </row>
    <row r="14" spans="2:20">
      <c r="B14" s="89"/>
      <c r="C14" s="100" t="s">
        <v>147</v>
      </c>
      <c r="D14" s="100"/>
      <c r="E14" s="100"/>
      <c r="F14" s="101"/>
      <c r="G14" s="101"/>
      <c r="H14" s="101"/>
      <c r="I14" s="101"/>
      <c r="J14" s="101"/>
      <c r="K14" s="101"/>
      <c r="L14" s="101"/>
      <c r="M14" s="101"/>
      <c r="N14" s="101"/>
      <c r="O14" s="101"/>
      <c r="P14" s="101"/>
      <c r="Q14" s="101"/>
      <c r="R14" s="101"/>
      <c r="S14" s="91"/>
    </row>
    <row r="15" spans="2:20">
      <c r="B15" s="89"/>
      <c r="C15" s="102" t="s">
        <v>148</v>
      </c>
      <c r="D15" s="102"/>
      <c r="E15" s="103" t="s">
        <v>149</v>
      </c>
      <c r="F15" s="104">
        <v>273</v>
      </c>
      <c r="G15" s="104">
        <v>285</v>
      </c>
      <c r="H15" s="104">
        <v>300</v>
      </c>
      <c r="I15" s="28">
        <f>H15+'Key Assumptions'!$E$5</f>
        <v>312</v>
      </c>
      <c r="J15" s="28">
        <f>I15+'Key Assumptions'!$E$5</f>
        <v>324</v>
      </c>
      <c r="K15" s="28">
        <f>J15+'Key Assumptions'!$E$5</f>
        <v>336</v>
      </c>
      <c r="L15" s="28">
        <f>K15+'Key Assumptions'!$E$5</f>
        <v>348</v>
      </c>
      <c r="M15" s="28">
        <f>L15+'Key Assumptions'!$E$5</f>
        <v>360</v>
      </c>
      <c r="N15" s="28">
        <f>M15*(1+N18)</f>
        <v>367.2</v>
      </c>
      <c r="O15" s="28">
        <f t="shared" ref="O15:R15" si="0">N15*(1+O18)</f>
        <v>374.54399999999998</v>
      </c>
      <c r="P15" s="28">
        <f t="shared" si="0"/>
        <v>382.03487999999999</v>
      </c>
      <c r="Q15" s="28">
        <f t="shared" si="0"/>
        <v>389.6755776</v>
      </c>
      <c r="R15" s="28">
        <f t="shared" si="0"/>
        <v>397.46908915199998</v>
      </c>
      <c r="S15" s="105"/>
      <c r="T15"/>
    </row>
    <row r="16" spans="2:20">
      <c r="B16" s="89"/>
      <c r="C16" s="102" t="s">
        <v>150</v>
      </c>
      <c r="D16" s="102"/>
      <c r="E16" s="103" t="s">
        <v>149</v>
      </c>
      <c r="F16" s="104"/>
      <c r="G16" s="104"/>
      <c r="H16" s="104"/>
      <c r="I16" s="284">
        <v>1</v>
      </c>
      <c r="J16" s="28"/>
      <c r="K16" s="28"/>
      <c r="L16" s="28"/>
      <c r="M16" s="28"/>
      <c r="N16" s="28"/>
      <c r="O16" s="28"/>
      <c r="P16" s="28"/>
      <c r="Q16" s="28"/>
      <c r="R16" s="28"/>
      <c r="S16" s="105"/>
      <c r="T16"/>
    </row>
    <row r="17" spans="2:20">
      <c r="B17" s="89"/>
      <c r="C17" s="102" t="s">
        <v>151</v>
      </c>
      <c r="D17" s="102"/>
      <c r="E17" s="103" t="s">
        <v>149</v>
      </c>
      <c r="F17" s="104">
        <f>F15-F16</f>
        <v>273</v>
      </c>
      <c r="G17" s="104">
        <f t="shared" ref="G17:R17" si="1">G15-G16</f>
        <v>285</v>
      </c>
      <c r="H17" s="104">
        <f t="shared" si="1"/>
        <v>300</v>
      </c>
      <c r="I17" s="28">
        <f t="shared" si="1"/>
        <v>311</v>
      </c>
      <c r="J17" s="28">
        <f t="shared" si="1"/>
        <v>324</v>
      </c>
      <c r="K17" s="28">
        <f t="shared" si="1"/>
        <v>336</v>
      </c>
      <c r="L17" s="28">
        <f t="shared" si="1"/>
        <v>348</v>
      </c>
      <c r="M17" s="28">
        <f t="shared" si="1"/>
        <v>360</v>
      </c>
      <c r="N17" s="28">
        <f t="shared" si="1"/>
        <v>367.2</v>
      </c>
      <c r="O17" s="28">
        <f t="shared" si="1"/>
        <v>374.54399999999998</v>
      </c>
      <c r="P17" s="28">
        <f t="shared" si="1"/>
        <v>382.03487999999999</v>
      </c>
      <c r="Q17" s="28">
        <f t="shared" si="1"/>
        <v>389.6755776</v>
      </c>
      <c r="R17" s="28">
        <f t="shared" si="1"/>
        <v>397.46908915199998</v>
      </c>
      <c r="S17" s="105"/>
      <c r="T17"/>
    </row>
    <row r="18" spans="2:20">
      <c r="B18" s="89"/>
      <c r="C18" s="240" t="s">
        <v>152</v>
      </c>
      <c r="D18" s="241"/>
      <c r="E18" s="282" t="s">
        <v>68</v>
      </c>
      <c r="F18" s="242"/>
      <c r="G18" s="242">
        <f>(G15-F15)/F15</f>
        <v>4.3956043956043959E-2</v>
      </c>
      <c r="H18" s="242">
        <f t="shared" ref="H18:M18" si="2">(H15-G15)/G15</f>
        <v>5.2631578947368418E-2</v>
      </c>
      <c r="I18" s="242">
        <f t="shared" si="2"/>
        <v>0.04</v>
      </c>
      <c r="J18" s="242">
        <f t="shared" si="2"/>
        <v>3.8461538461538464E-2</v>
      </c>
      <c r="K18" s="242">
        <f t="shared" si="2"/>
        <v>3.7037037037037035E-2</v>
      </c>
      <c r="L18" s="242">
        <f t="shared" si="2"/>
        <v>3.5714285714285712E-2</v>
      </c>
      <c r="M18" s="242">
        <f t="shared" si="2"/>
        <v>3.4482758620689655E-2</v>
      </c>
      <c r="N18" s="242">
        <f>'Key Assumptions'!$E$6</f>
        <v>0.02</v>
      </c>
      <c r="O18" s="242">
        <f>'Key Assumptions'!$E$6</f>
        <v>0.02</v>
      </c>
      <c r="P18" s="242">
        <f>'Key Assumptions'!$E$6</f>
        <v>0.02</v>
      </c>
      <c r="Q18" s="242">
        <f>'Key Assumptions'!$E$6</f>
        <v>0.02</v>
      </c>
      <c r="R18" s="242">
        <f>'Key Assumptions'!$E$6</f>
        <v>0.02</v>
      </c>
      <c r="S18" s="105"/>
      <c r="T18"/>
    </row>
    <row r="19" spans="2:20">
      <c r="B19" s="89"/>
      <c r="C19" s="106"/>
      <c r="D19" s="106"/>
      <c r="E19" s="107"/>
      <c r="F19" s="108"/>
      <c r="G19" s="108"/>
      <c r="H19" s="108"/>
      <c r="I19" s="109"/>
      <c r="J19" s="109"/>
      <c r="K19" s="109"/>
      <c r="L19" s="109"/>
      <c r="M19" s="109"/>
      <c r="N19" s="110"/>
      <c r="O19" s="110"/>
      <c r="P19" s="110"/>
      <c r="Q19" s="110"/>
      <c r="R19" s="110"/>
      <c r="S19" s="91"/>
    </row>
    <row r="20" spans="2:20">
      <c r="B20" s="89"/>
      <c r="C20" s="106"/>
      <c r="D20" s="106"/>
      <c r="E20" s="107"/>
      <c r="F20" s="108"/>
      <c r="G20" s="108"/>
      <c r="H20" s="108"/>
      <c r="I20" s="109"/>
      <c r="J20" s="109"/>
      <c r="K20" s="109"/>
      <c r="L20" s="109"/>
      <c r="M20" s="109"/>
      <c r="N20" s="110"/>
      <c r="O20" s="110"/>
      <c r="P20" s="110"/>
      <c r="Q20" s="110"/>
      <c r="R20" s="110"/>
      <c r="S20" s="91"/>
    </row>
    <row r="21" spans="2:20">
      <c r="B21" s="89"/>
      <c r="C21" s="102" t="s">
        <v>153</v>
      </c>
      <c r="D21" s="102"/>
      <c r="E21" s="103" t="s">
        <v>149</v>
      </c>
      <c r="F21" s="104">
        <v>120</v>
      </c>
      <c r="G21" s="104">
        <v>120</v>
      </c>
      <c r="H21" s="104">
        <v>120</v>
      </c>
      <c r="I21" s="28">
        <f>H21</f>
        <v>120</v>
      </c>
      <c r="J21" s="28">
        <f>I21</f>
        <v>120</v>
      </c>
      <c r="K21" s="28">
        <f>J21</f>
        <v>120</v>
      </c>
      <c r="L21" s="28">
        <f>K21</f>
        <v>120</v>
      </c>
      <c r="M21" s="28">
        <f>L21</f>
        <v>120</v>
      </c>
      <c r="N21" s="28">
        <v>120</v>
      </c>
      <c r="O21" s="28">
        <v>120</v>
      </c>
      <c r="P21" s="28">
        <v>120</v>
      </c>
      <c r="Q21" s="28">
        <v>120</v>
      </c>
      <c r="R21" s="28">
        <v>120</v>
      </c>
      <c r="S21" s="91"/>
    </row>
    <row r="22" spans="2:20">
      <c r="B22" s="89"/>
      <c r="C22" s="106"/>
      <c r="D22" s="106"/>
      <c r="E22" s="107"/>
      <c r="F22" s="111"/>
      <c r="G22" s="110"/>
      <c r="H22" s="110"/>
      <c r="I22" s="109"/>
      <c r="J22" s="109"/>
      <c r="K22" s="109"/>
      <c r="L22" s="109"/>
      <c r="M22" s="109"/>
      <c r="N22" s="110"/>
      <c r="O22" s="110"/>
      <c r="P22" s="110"/>
      <c r="Q22" s="110"/>
      <c r="R22" s="110"/>
      <c r="S22" s="91"/>
    </row>
    <row r="23" spans="2:20">
      <c r="B23" s="89"/>
      <c r="C23" s="102" t="s">
        <v>154</v>
      </c>
      <c r="D23" s="102"/>
      <c r="E23" s="103" t="s">
        <v>68</v>
      </c>
      <c r="F23" s="112">
        <v>0.76</v>
      </c>
      <c r="G23" s="112">
        <v>0.76500000000000001</v>
      </c>
      <c r="H23" s="112">
        <v>0.72799999999999998</v>
      </c>
      <c r="I23" s="113">
        <v>0.74</v>
      </c>
      <c r="J23" s="113">
        <v>0.74299999999999999</v>
      </c>
      <c r="K23" s="113">
        <v>0.746</v>
      </c>
      <c r="L23" s="113">
        <v>0.749</v>
      </c>
      <c r="M23" s="113">
        <v>0.752</v>
      </c>
      <c r="N23" s="113">
        <f>M23</f>
        <v>0.752</v>
      </c>
      <c r="O23" s="113">
        <f>N23</f>
        <v>0.752</v>
      </c>
      <c r="P23" s="113">
        <f>O23</f>
        <v>0.752</v>
      </c>
      <c r="Q23" s="113">
        <f>P23</f>
        <v>0.752</v>
      </c>
      <c r="R23" s="113">
        <f>Q23</f>
        <v>0.752</v>
      </c>
      <c r="S23" s="91"/>
    </row>
    <row r="24" spans="2:20">
      <c r="B24" s="89"/>
      <c r="C24" s="102" t="s">
        <v>155</v>
      </c>
      <c r="D24" s="102"/>
      <c r="E24" s="114" t="s">
        <v>66</v>
      </c>
      <c r="F24" s="115">
        <v>69.099999999999994</v>
      </c>
      <c r="G24" s="115">
        <v>69.099999999999994</v>
      </c>
      <c r="H24" s="115">
        <v>69.099999999999994</v>
      </c>
      <c r="I24" s="116">
        <v>65</v>
      </c>
      <c r="J24" s="116">
        <v>69.5</v>
      </c>
      <c r="K24" s="116">
        <v>70.599999999999994</v>
      </c>
      <c r="L24" s="116">
        <v>71.900000000000006</v>
      </c>
      <c r="M24" s="116">
        <v>73.400000000000006</v>
      </c>
      <c r="N24" s="116">
        <f>M24</f>
        <v>73.400000000000006</v>
      </c>
      <c r="O24" s="116">
        <f>N24</f>
        <v>73.400000000000006</v>
      </c>
      <c r="P24" s="116">
        <f>O24</f>
        <v>73.400000000000006</v>
      </c>
      <c r="Q24" s="116">
        <f>P24</f>
        <v>73.400000000000006</v>
      </c>
      <c r="R24" s="116">
        <f>Q24</f>
        <v>73.400000000000006</v>
      </c>
      <c r="S24" s="91"/>
    </row>
    <row r="25" spans="2:20">
      <c r="B25" s="89"/>
      <c r="C25" s="102" t="s">
        <v>156</v>
      </c>
      <c r="D25" s="102"/>
      <c r="E25" s="114" t="s">
        <v>66</v>
      </c>
      <c r="F25" s="115">
        <f>+F24*F23</f>
        <v>52.515999999999998</v>
      </c>
      <c r="G25" s="115">
        <f>+G24*G23</f>
        <v>52.861499999999999</v>
      </c>
      <c r="H25" s="115">
        <f>+H24*H23</f>
        <v>50.304799999999993</v>
      </c>
      <c r="I25" s="117">
        <f>I23*I24</f>
        <v>48.1</v>
      </c>
      <c r="J25" s="117">
        <f>J23*J24</f>
        <v>51.638500000000001</v>
      </c>
      <c r="K25" s="117">
        <f>K23*K24</f>
        <v>52.667599999999993</v>
      </c>
      <c r="L25" s="117">
        <f>L23*L24</f>
        <v>53.853100000000005</v>
      </c>
      <c r="M25" s="117">
        <f>M23*M24</f>
        <v>55.196800000000003</v>
      </c>
      <c r="N25" s="118">
        <f t="shared" ref="N25:T25" si="3">N23*N24</f>
        <v>55.196800000000003</v>
      </c>
      <c r="O25" s="118">
        <f t="shared" si="3"/>
        <v>55.196800000000003</v>
      </c>
      <c r="P25" s="118">
        <f t="shared" si="3"/>
        <v>55.196800000000003</v>
      </c>
      <c r="Q25" s="118">
        <f t="shared" si="3"/>
        <v>55.196800000000003</v>
      </c>
      <c r="R25" s="118">
        <f t="shared" si="3"/>
        <v>55.196800000000003</v>
      </c>
      <c r="S25" s="91"/>
      <c r="T25" s="119"/>
    </row>
    <row r="26" spans="2:20">
      <c r="B26" s="89"/>
      <c r="C26" s="120" t="s">
        <v>65</v>
      </c>
      <c r="D26" s="120"/>
      <c r="E26" s="121" t="s">
        <v>157</v>
      </c>
      <c r="F26" s="122">
        <v>626.79999999999995</v>
      </c>
      <c r="G26" s="122">
        <f t="shared" ref="G26:H26" si="4">(AVERAGE(F$21:G$21)*AVERAGE(F$17:G$17)*G$25*365)/1000000</f>
        <v>645.97810229999993</v>
      </c>
      <c r="H26" s="122">
        <f t="shared" si="4"/>
        <v>644.47994519999997</v>
      </c>
      <c r="I26" s="283">
        <f>(AVERAGE(H$21:I$21)*AVERAGE(H$17:I$17)*I$25*365)/1000000</f>
        <v>643.62129000000004</v>
      </c>
      <c r="J26" s="283">
        <f>(AVERAGE(I$21:J$21)*AVERAGE(I$17:J$17)*J$25*365)/1000000</f>
        <v>718.11080025000001</v>
      </c>
      <c r="K26" s="122">
        <f t="shared" ref="K26:R26" si="5">(AVERAGE(J$21:K$21)*AVERAGE(J$17:K$17)*K$25*365)/1000000</f>
        <v>761.25749039999982</v>
      </c>
      <c r="L26" s="122">
        <f t="shared" si="5"/>
        <v>806.69789676000016</v>
      </c>
      <c r="M26" s="122">
        <f t="shared" si="5"/>
        <v>855.83742336000012</v>
      </c>
      <c r="N26" s="122">
        <f t="shared" si="5"/>
        <v>879.04657382400001</v>
      </c>
      <c r="O26" s="122">
        <f t="shared" si="5"/>
        <v>896.62750530047992</v>
      </c>
      <c r="P26" s="122">
        <f t="shared" si="5"/>
        <v>914.5600554064896</v>
      </c>
      <c r="Q26" s="122">
        <f t="shared" si="5"/>
        <v>932.85125651461931</v>
      </c>
      <c r="R26" s="122">
        <f t="shared" si="5"/>
        <v>951.50828164491179</v>
      </c>
      <c r="S26" s="91"/>
    </row>
    <row r="27" spans="2:20">
      <c r="B27" s="89"/>
      <c r="C27" s="248" t="s">
        <v>158</v>
      </c>
      <c r="D27" s="246"/>
      <c r="E27" s="281" t="s">
        <v>68</v>
      </c>
      <c r="F27" s="249"/>
      <c r="G27" s="258">
        <f>G26/F26-1</f>
        <v>3.0596844767070808E-2</v>
      </c>
      <c r="H27" s="258">
        <f>H26/G26-1</f>
        <v>-2.3192072527935537E-3</v>
      </c>
      <c r="I27" s="258">
        <f>I26/H26-1</f>
        <v>-1.3323226058391535E-3</v>
      </c>
      <c r="J27" s="258">
        <f>J26/I26-1</f>
        <v>0.11573500039130158</v>
      </c>
      <c r="K27" s="258">
        <f>K26/J26-1</f>
        <v>6.0083611240743018E-2</v>
      </c>
      <c r="L27" s="258">
        <f>L26/K26-1</f>
        <v>5.9691243676464723E-2</v>
      </c>
      <c r="M27" s="258">
        <f>M26/L26-1</f>
        <v>6.0914410211508674E-2</v>
      </c>
      <c r="N27" s="258">
        <f>N26/M26-1</f>
        <v>2.7118644067796405E-2</v>
      </c>
      <c r="O27" s="258">
        <f>O26/N26-1</f>
        <v>2.0000000000000018E-2</v>
      </c>
      <c r="P27" s="258">
        <f>P26/O26-1</f>
        <v>2.0000000000000018E-2</v>
      </c>
      <c r="Q27" s="258">
        <f>Q26/P26-1</f>
        <v>2.0000000000000018E-2</v>
      </c>
      <c r="R27" s="258">
        <f>R26/Q26-1</f>
        <v>2.0000000000000018E-2</v>
      </c>
      <c r="S27" s="91"/>
    </row>
    <row r="28" spans="2:20">
      <c r="B28" s="89"/>
      <c r="C28" s="120" t="s">
        <v>159</v>
      </c>
      <c r="D28" s="120"/>
      <c r="E28" s="121" t="s">
        <v>157</v>
      </c>
      <c r="F28" s="122">
        <v>626.79999999999995</v>
      </c>
      <c r="G28" s="122">
        <f t="shared" ref="G28:H28" si="6">(AVERAGE(F$21:G$21)*AVERAGE(F$15:G$15)*G$25*365)/1000000</f>
        <v>645.97810229999993</v>
      </c>
      <c r="H28" s="122">
        <f t="shared" si="6"/>
        <v>644.47994519999997</v>
      </c>
      <c r="I28" s="283">
        <f>(AVERAGE(H$21:I$21)*AVERAGE(H$15:I$15)*I$25*365)/1000000</f>
        <v>644.67467999999997</v>
      </c>
      <c r="J28" s="283">
        <f>(AVERAGE(I$21:J$21)*AVERAGE(I$15:J$15)*J$25*365)/1000000</f>
        <v>719.24168339999994</v>
      </c>
      <c r="K28" s="122">
        <f t="shared" ref="K28:R28" si="7">(AVERAGE(J$21:K$21)*AVERAGE(J$15:K$15)*K$25*365)/1000000</f>
        <v>761.25749039999982</v>
      </c>
      <c r="L28" s="122">
        <f t="shared" si="7"/>
        <v>806.69789676000016</v>
      </c>
      <c r="M28" s="122">
        <f t="shared" si="7"/>
        <v>855.83742336000012</v>
      </c>
      <c r="N28" s="122">
        <f t="shared" si="7"/>
        <v>879.04657382400001</v>
      </c>
      <c r="O28" s="122">
        <f t="shared" si="7"/>
        <v>896.62750530047992</v>
      </c>
      <c r="P28" s="122">
        <f t="shared" si="7"/>
        <v>914.5600554064896</v>
      </c>
      <c r="Q28" s="122">
        <f t="shared" si="7"/>
        <v>932.85125651461931</v>
      </c>
      <c r="R28" s="122">
        <f t="shared" si="7"/>
        <v>951.50828164491179</v>
      </c>
      <c r="S28" s="91"/>
    </row>
    <row r="29" spans="2:20">
      <c r="B29" s="89"/>
      <c r="C29" s="248" t="s">
        <v>160</v>
      </c>
      <c r="D29" s="246"/>
      <c r="E29" s="281" t="s">
        <v>68</v>
      </c>
      <c r="F29" s="249"/>
      <c r="G29" s="258">
        <f>G28/F28-1</f>
        <v>3.0596844767070808E-2</v>
      </c>
      <c r="H29" s="258">
        <f>H28/G28-1</f>
        <v>-2.3192072527935537E-3</v>
      </c>
      <c r="I29" s="258">
        <f>I28/H28-1</f>
        <v>3.0215804456035222E-4</v>
      </c>
      <c r="J29" s="258">
        <f>J28/I28-1</f>
        <v>0.1156660959602136</v>
      </c>
      <c r="K29" s="258">
        <f>K28/J28-1</f>
        <v>5.8416813109861465E-2</v>
      </c>
      <c r="L29" s="258">
        <f>L28/K28-1</f>
        <v>5.9691243676464723E-2</v>
      </c>
      <c r="M29" s="258">
        <f>M28/L28-1</f>
        <v>6.0914410211508674E-2</v>
      </c>
      <c r="N29" s="258">
        <f>N28/M28-1</f>
        <v>2.7118644067796405E-2</v>
      </c>
      <c r="O29" s="258">
        <f>O28/N28-1</f>
        <v>2.0000000000000018E-2</v>
      </c>
      <c r="P29" s="258">
        <f>P28/O28-1</f>
        <v>2.0000000000000018E-2</v>
      </c>
      <c r="Q29" s="258">
        <f>Q28/P28-1</f>
        <v>2.0000000000000018E-2</v>
      </c>
      <c r="R29" s="258">
        <f>R28/Q28-1</f>
        <v>2.0000000000000018E-2</v>
      </c>
      <c r="S29" s="91"/>
    </row>
    <row r="30" spans="2:20">
      <c r="B30" s="89"/>
      <c r="C30" s="106"/>
      <c r="D30" s="106"/>
      <c r="E30" s="106"/>
      <c r="F30" s="127"/>
      <c r="G30" s="110"/>
      <c r="H30" s="110"/>
      <c r="I30" s="110"/>
      <c r="J30" s="110"/>
      <c r="K30" s="110"/>
      <c r="L30" s="110"/>
      <c r="M30" s="110"/>
      <c r="N30" s="111"/>
      <c r="O30" s="111"/>
      <c r="P30" s="111"/>
      <c r="Q30" s="111"/>
      <c r="R30" s="111"/>
      <c r="S30" s="91"/>
      <c r="T30" s="201"/>
    </row>
    <row r="31" spans="2:20">
      <c r="B31" s="89"/>
      <c r="C31" s="74" t="s">
        <v>161</v>
      </c>
      <c r="E31" s="114" t="s">
        <v>157</v>
      </c>
      <c r="F31" s="128">
        <v>319.89999999999998</v>
      </c>
      <c r="G31" s="128">
        <v>324.7</v>
      </c>
      <c r="H31" s="128">
        <v>324</v>
      </c>
      <c r="I31" s="128">
        <f>I26*I32</f>
        <v>320.99384231570815</v>
      </c>
      <c r="J31" s="128">
        <f>J26*J32</f>
        <v>355.27162158072196</v>
      </c>
      <c r="K31" s="128">
        <f>K26*K32</f>
        <v>373.5725936150464</v>
      </c>
      <c r="L31" s="128">
        <f>L26*L32</f>
        <v>392.64481474433103</v>
      </c>
      <c r="M31" s="128">
        <f>M26*M32</f>
        <v>413.13919236364904</v>
      </c>
      <c r="N31" s="128">
        <f>N26*N32</f>
        <v>423.46392049799175</v>
      </c>
      <c r="O31" s="128">
        <f>O26*O32</f>
        <v>431.03657140265108</v>
      </c>
      <c r="P31" s="128">
        <f>P26*P32</f>
        <v>438.74274277529764</v>
      </c>
      <c r="Q31" s="128">
        <f>Q26*Q32</f>
        <v>446.58474637428895</v>
      </c>
      <c r="R31" s="128">
        <f>R26*R32</f>
        <v>454.56493302012984</v>
      </c>
      <c r="S31" s="91"/>
    </row>
    <row r="32" spans="2:20">
      <c r="B32" s="89"/>
      <c r="C32" s="125" t="s">
        <v>70</v>
      </c>
      <c r="D32" s="125"/>
      <c r="E32" s="125"/>
      <c r="F32" s="126"/>
      <c r="G32" s="21">
        <f>+G31/G26</f>
        <v>0.50264861741273925</v>
      </c>
      <c r="H32" s="21">
        <f>+H31/H26</f>
        <v>0.50273092656041274</v>
      </c>
      <c r="I32" s="129">
        <f>H32-'Key Assumptions'!$E$9</f>
        <v>0.49873092656041274</v>
      </c>
      <c r="J32" s="129">
        <f>I32-'Key Assumptions'!$E$9</f>
        <v>0.49473092656041273</v>
      </c>
      <c r="K32" s="129">
        <f>J32-'Key Assumptions'!$E$9</f>
        <v>0.49073092656041273</v>
      </c>
      <c r="L32" s="129">
        <f>K32-'Key Assumptions'!$E$9</f>
        <v>0.48673092656041272</v>
      </c>
      <c r="M32" s="129">
        <f>L32-'Key Assumptions'!$E$9</f>
        <v>0.48273092656041272</v>
      </c>
      <c r="N32" s="129">
        <f>M32-'Key Assumptions'!$E$11</f>
        <v>0.48173092656041272</v>
      </c>
      <c r="O32" s="129">
        <f>N32-'Key Assumptions'!$E$11</f>
        <v>0.48073092656041272</v>
      </c>
      <c r="P32" s="129">
        <f>O32-'Key Assumptions'!$E$11</f>
        <v>0.47973092656041272</v>
      </c>
      <c r="Q32" s="129">
        <f>P32-'Key Assumptions'!$E$11</f>
        <v>0.47873092656041272</v>
      </c>
      <c r="R32" s="129">
        <f>Q32-'Key Assumptions'!$E$11</f>
        <v>0.47773092656041272</v>
      </c>
      <c r="S32" s="91" t="s">
        <v>68</v>
      </c>
      <c r="T32" s="130"/>
    </row>
    <row r="33" spans="2:23">
      <c r="B33" s="89"/>
      <c r="C33" s="106"/>
      <c r="D33" s="106"/>
      <c r="E33" s="106"/>
      <c r="F33" s="110"/>
      <c r="G33" s="110"/>
      <c r="H33" s="110"/>
      <c r="I33" s="110"/>
      <c r="J33" s="110"/>
      <c r="K33" s="110"/>
      <c r="L33" s="110"/>
      <c r="M33" s="110"/>
      <c r="N33" s="110"/>
      <c r="O33" s="110"/>
      <c r="P33" s="110"/>
      <c r="Q33" s="110"/>
      <c r="R33" s="110"/>
      <c r="S33" s="91"/>
    </row>
    <row r="34" spans="2:23">
      <c r="B34" s="89"/>
      <c r="C34" s="74" t="s">
        <v>74</v>
      </c>
      <c r="E34" s="114" t="s">
        <v>157</v>
      </c>
      <c r="F34" s="128">
        <v>170</v>
      </c>
      <c r="G34" s="128">
        <v>179</v>
      </c>
      <c r="H34" s="128">
        <f>208</f>
        <v>208</v>
      </c>
      <c r="I34" s="128">
        <f>I26*I35</f>
        <v>201.28666399798547</v>
      </c>
      <c r="J34" s="128">
        <f>J26*J35</f>
        <v>217.40146813205607</v>
      </c>
      <c r="K34" s="128">
        <f>K26*K35</f>
        <v>222.85115852246929</v>
      </c>
      <c r="L34" s="128">
        <f>L26*L35</f>
        <v>235.57720854601644</v>
      </c>
      <c r="M34" s="128">
        <f>M26*M35</f>
        <v>249.31594281861348</v>
      </c>
      <c r="N34" s="128">
        <f>N26*N35</f>
        <v>255.44916272246425</v>
      </c>
      <c r="O34" s="128">
        <f>O26*O35</f>
        <v>259.91769775884177</v>
      </c>
      <c r="P34" s="128">
        <f>P26*P35</f>
        <v>264.46279453158536</v>
      </c>
      <c r="Q34" s="128">
        <f>Q26*Q35</f>
        <v>269.0857280961352</v>
      </c>
      <c r="R34" s="128">
        <f>R26*R35</f>
        <v>273.78779388545439</v>
      </c>
      <c r="S34" s="91"/>
    </row>
    <row r="35" spans="2:23">
      <c r="B35" s="89"/>
      <c r="C35" s="125" t="s">
        <v>70</v>
      </c>
      <c r="D35" s="125"/>
      <c r="E35" s="125"/>
      <c r="F35" s="21">
        <f>F34/F26</f>
        <v>0.27121888959795792</v>
      </c>
      <c r="G35" s="21">
        <f>G34/G26</f>
        <v>0.27709917621459912</v>
      </c>
      <c r="H35" s="21">
        <f>H34/H26</f>
        <v>0.32274084174248718</v>
      </c>
      <c r="I35" s="129">
        <f>H35-'Key Assumptions'!$E$13</f>
        <v>0.31274084174248717</v>
      </c>
      <c r="J35" s="129">
        <f>I35-'Key Assumptions'!$E$13</f>
        <v>0.30274084174248717</v>
      </c>
      <c r="K35" s="129">
        <f>J35-'Key Assumptions'!$E$13</f>
        <v>0.29274084174248716</v>
      </c>
      <c r="L35" s="129">
        <f>K35-'Key Assumptions'!$E$15</f>
        <v>0.29202655602820143</v>
      </c>
      <c r="M35" s="129">
        <f>L35-'Key Assumptions'!$E$15</f>
        <v>0.29131227031391571</v>
      </c>
      <c r="N35" s="129">
        <f>M35-'Key Assumptions'!$E$15</f>
        <v>0.29059798459962999</v>
      </c>
      <c r="O35" s="129">
        <f>N35-'Key Assumptions'!$E$15</f>
        <v>0.28988369888534427</v>
      </c>
      <c r="P35" s="129">
        <f>O35-'Key Assumptions'!$E$15</f>
        <v>0.28916941317105854</v>
      </c>
      <c r="Q35" s="129">
        <f>P35-'Key Assumptions'!$E$15</f>
        <v>0.28845512745677282</v>
      </c>
      <c r="R35" s="129">
        <f>Q35-'Key Assumptions'!$E$15</f>
        <v>0.2877408417424871</v>
      </c>
      <c r="S35" s="91"/>
    </row>
    <row r="36" spans="2:23">
      <c r="B36" s="131"/>
      <c r="F36" s="110"/>
      <c r="G36" s="110"/>
      <c r="H36" s="110"/>
      <c r="I36" s="110"/>
      <c r="J36" s="110"/>
      <c r="K36" s="110"/>
      <c r="L36" s="110"/>
      <c r="M36" s="110"/>
      <c r="N36" s="110"/>
      <c r="O36" s="110"/>
      <c r="P36" s="110"/>
      <c r="Q36" s="110"/>
      <c r="R36" s="110"/>
      <c r="S36" s="91"/>
    </row>
    <row r="37" spans="2:23">
      <c r="B37" s="131"/>
      <c r="C37" s="74" t="s">
        <v>162</v>
      </c>
      <c r="E37" s="114" t="s">
        <v>157</v>
      </c>
      <c r="F37" s="110"/>
      <c r="G37" s="110"/>
      <c r="H37" s="110"/>
      <c r="I37" s="110"/>
      <c r="J37" s="110"/>
      <c r="K37" s="110"/>
      <c r="L37" s="110"/>
      <c r="M37" s="110"/>
      <c r="N37" s="110"/>
      <c r="O37" s="110"/>
      <c r="P37" s="110"/>
      <c r="Q37" s="110"/>
      <c r="R37" s="110"/>
      <c r="S37" s="91"/>
    </row>
    <row r="38" spans="2:23">
      <c r="B38" s="131"/>
      <c r="F38" s="110"/>
      <c r="G38" s="110"/>
      <c r="H38" s="110"/>
      <c r="I38" s="110"/>
      <c r="J38" s="110"/>
      <c r="K38" s="110"/>
      <c r="L38" s="110"/>
      <c r="M38" s="110"/>
      <c r="N38" s="110"/>
      <c r="O38" s="110"/>
      <c r="P38" s="110"/>
      <c r="Q38" s="110"/>
      <c r="R38" s="110"/>
      <c r="S38" s="91"/>
    </row>
    <row r="39" spans="2:23">
      <c r="B39" s="131"/>
      <c r="C39" s="74" t="s">
        <v>22</v>
      </c>
      <c r="E39" s="103" t="s">
        <v>157</v>
      </c>
      <c r="F39" s="122">
        <f>+F$26-F$34-F$31</f>
        <v>136.89999999999998</v>
      </c>
      <c r="G39" s="122">
        <f t="shared" ref="G39:R39" si="8">+G$26-G$34-G$31</f>
        <v>142.27810229999994</v>
      </c>
      <c r="H39" s="122">
        <f t="shared" si="8"/>
        <v>112.47994519999997</v>
      </c>
      <c r="I39" s="283">
        <f t="shared" si="8"/>
        <v>121.34078368630645</v>
      </c>
      <c r="J39" s="283">
        <f t="shared" si="8"/>
        <v>145.43771053722202</v>
      </c>
      <c r="K39" s="122">
        <f t="shared" si="8"/>
        <v>164.83373826248413</v>
      </c>
      <c r="L39" s="122">
        <f t="shared" si="8"/>
        <v>178.4758734696527</v>
      </c>
      <c r="M39" s="122">
        <f t="shared" si="8"/>
        <v>193.38228817773756</v>
      </c>
      <c r="N39" s="122">
        <f t="shared" si="8"/>
        <v>200.13349060354398</v>
      </c>
      <c r="O39" s="122">
        <f t="shared" si="8"/>
        <v>205.67323613898708</v>
      </c>
      <c r="P39" s="122">
        <f t="shared" si="8"/>
        <v>211.35451809960659</v>
      </c>
      <c r="Q39" s="122">
        <f t="shared" si="8"/>
        <v>217.18078204419515</v>
      </c>
      <c r="R39" s="122">
        <f t="shared" si="8"/>
        <v>223.15555473932761</v>
      </c>
      <c r="S39" s="91"/>
    </row>
    <row r="40" spans="2:23">
      <c r="B40" s="131"/>
      <c r="C40" s="248" t="s">
        <v>163</v>
      </c>
      <c r="D40" s="246"/>
      <c r="E40" s="280" t="s">
        <v>68</v>
      </c>
      <c r="F40" s="247">
        <f>+F39/F26</f>
        <v>0.21841097638800253</v>
      </c>
      <c r="G40" s="247">
        <f t="shared" ref="G40:R40" si="9">+G39/G26</f>
        <v>0.22025220637266169</v>
      </c>
      <c r="H40" s="247">
        <f t="shared" si="9"/>
        <v>0.17452823169710011</v>
      </c>
      <c r="I40" s="247">
        <f t="shared" si="9"/>
        <v>0.18852823169710009</v>
      </c>
      <c r="J40" s="247">
        <f t="shared" si="9"/>
        <v>0.20252823169710016</v>
      </c>
      <c r="K40" s="247">
        <f t="shared" si="9"/>
        <v>0.21652823169710012</v>
      </c>
      <c r="L40" s="247">
        <f t="shared" si="9"/>
        <v>0.22124251741138587</v>
      </c>
      <c r="M40" s="247">
        <f t="shared" si="9"/>
        <v>0.22595680312567157</v>
      </c>
      <c r="N40" s="247">
        <f t="shared" si="9"/>
        <v>0.22767108883995729</v>
      </c>
      <c r="O40" s="247">
        <f t="shared" si="9"/>
        <v>0.22938537455424299</v>
      </c>
      <c r="P40" s="247">
        <f t="shared" si="9"/>
        <v>0.23109966026852877</v>
      </c>
      <c r="Q40" s="247">
        <f t="shared" si="9"/>
        <v>0.23281394598281444</v>
      </c>
      <c r="R40" s="247">
        <f t="shared" si="9"/>
        <v>0.23452823169710027</v>
      </c>
      <c r="S40" s="91"/>
    </row>
    <row r="41" spans="2:23">
      <c r="B41" s="131"/>
      <c r="C41" s="8" t="s">
        <v>164</v>
      </c>
      <c r="D41" s="8"/>
      <c r="E41" s="279" t="s">
        <v>157</v>
      </c>
      <c r="F41" s="122">
        <f>F39+(F28-F26)*F40</f>
        <v>136.89999999999998</v>
      </c>
      <c r="G41" s="122">
        <f t="shared" ref="G41:R41" si="10">G39+(G28-G26)*G40</f>
        <v>142.27810229999994</v>
      </c>
      <c r="H41" s="122">
        <f t="shared" si="10"/>
        <v>112.47994519999997</v>
      </c>
      <c r="I41" s="283">
        <f t="shared" si="10"/>
        <v>121.53937744029385</v>
      </c>
      <c r="J41" s="283">
        <f>J39+(J28-J26)*J40</f>
        <v>145.66674630184755</v>
      </c>
      <c r="K41" s="122">
        <f t="shared" si="10"/>
        <v>164.83373826248413</v>
      </c>
      <c r="L41" s="122">
        <f t="shared" si="10"/>
        <v>178.4758734696527</v>
      </c>
      <c r="M41" s="122">
        <f t="shared" si="10"/>
        <v>193.38228817773756</v>
      </c>
      <c r="N41" s="122">
        <f t="shared" si="10"/>
        <v>200.13349060354398</v>
      </c>
      <c r="O41" s="122">
        <f t="shared" si="10"/>
        <v>205.67323613898708</v>
      </c>
      <c r="P41" s="122">
        <f t="shared" si="10"/>
        <v>211.35451809960659</v>
      </c>
      <c r="Q41" s="122">
        <f t="shared" si="10"/>
        <v>217.18078204419515</v>
      </c>
      <c r="R41" s="122">
        <f t="shared" si="10"/>
        <v>223.15555473932761</v>
      </c>
      <c r="S41" s="91"/>
    </row>
    <row r="42" spans="2:23">
      <c r="B42" s="131"/>
      <c r="C42" s="248" t="s">
        <v>165</v>
      </c>
      <c r="D42" s="246"/>
      <c r="E42" s="280" t="s">
        <v>68</v>
      </c>
      <c r="F42" s="247">
        <f>+F41/F28</f>
        <v>0.21841097638800253</v>
      </c>
      <c r="G42" s="247">
        <f t="shared" ref="G42:R42" si="11">+G41/G28</f>
        <v>0.22025220637266169</v>
      </c>
      <c r="H42" s="247">
        <f t="shared" si="11"/>
        <v>0.17452823169710011</v>
      </c>
      <c r="I42" s="247">
        <f t="shared" si="11"/>
        <v>0.18852823169710009</v>
      </c>
      <c r="J42" s="247">
        <f t="shared" si="11"/>
        <v>0.20252823169710016</v>
      </c>
      <c r="K42" s="247">
        <f t="shared" si="11"/>
        <v>0.21652823169710012</v>
      </c>
      <c r="L42" s="247">
        <f t="shared" si="11"/>
        <v>0.22124251741138587</v>
      </c>
      <c r="M42" s="247">
        <f t="shared" si="11"/>
        <v>0.22595680312567157</v>
      </c>
      <c r="N42" s="247">
        <f t="shared" si="11"/>
        <v>0.22767108883995729</v>
      </c>
      <c r="O42" s="247">
        <f t="shared" si="11"/>
        <v>0.22938537455424299</v>
      </c>
      <c r="P42" s="247">
        <f t="shared" si="11"/>
        <v>0.23109966026852877</v>
      </c>
      <c r="Q42" s="247">
        <f t="shared" si="11"/>
        <v>0.23281394598281444</v>
      </c>
      <c r="R42" s="247">
        <f t="shared" si="11"/>
        <v>0.23452823169710027</v>
      </c>
      <c r="S42" s="91"/>
    </row>
    <row r="43" spans="2:23">
      <c r="B43" s="89"/>
      <c r="F43" s="92"/>
      <c r="G43" s="119"/>
      <c r="H43" s="119"/>
      <c r="I43" s="132"/>
      <c r="J43" s="132"/>
      <c r="K43" s="132"/>
      <c r="L43" s="132"/>
      <c r="M43" s="132"/>
      <c r="N43" s="132"/>
      <c r="O43" s="132"/>
      <c r="P43" s="132"/>
      <c r="Q43" s="132"/>
      <c r="R43" s="132"/>
      <c r="S43" s="91"/>
    </row>
    <row r="44" spans="2:23">
      <c r="B44" s="89"/>
      <c r="C44" s="74" t="s">
        <v>166</v>
      </c>
      <c r="E44" s="114" t="s">
        <v>157</v>
      </c>
      <c r="F44" s="128"/>
      <c r="G44" s="128"/>
      <c r="H44" s="128"/>
      <c r="I44" s="289">
        <f>$D$59*($D$60+$D$61)</f>
        <v>43.989897999999997</v>
      </c>
      <c r="J44" s="133">
        <f t="shared" ref="J44:R44" si="12">$D$59*($D$60+$D$61)</f>
        <v>43.989897999999997</v>
      </c>
      <c r="K44" s="133">
        <f t="shared" si="12"/>
        <v>43.989897999999997</v>
      </c>
      <c r="L44" s="133">
        <f t="shared" si="12"/>
        <v>43.989897999999997</v>
      </c>
      <c r="M44" s="133">
        <f t="shared" si="12"/>
        <v>43.989897999999997</v>
      </c>
      <c r="N44" s="133">
        <f t="shared" si="12"/>
        <v>43.989897999999997</v>
      </c>
      <c r="O44" s="133">
        <f>$D$59*($D$60+$D$61)</f>
        <v>43.989897999999997</v>
      </c>
      <c r="P44" s="133">
        <f t="shared" si="12"/>
        <v>43.989897999999997</v>
      </c>
      <c r="Q44" s="133">
        <f t="shared" si="12"/>
        <v>43.989897999999997</v>
      </c>
      <c r="R44" s="133">
        <f t="shared" si="12"/>
        <v>43.989897999999997</v>
      </c>
      <c r="S44" s="91"/>
    </row>
    <row r="45" spans="2:23">
      <c r="B45" s="89"/>
      <c r="F45" s="251"/>
      <c r="G45" s="251"/>
      <c r="H45" s="251"/>
      <c r="I45" s="134"/>
      <c r="J45" s="134"/>
      <c r="K45" s="134"/>
      <c r="L45" s="134"/>
      <c r="M45" s="134"/>
      <c r="N45" s="134"/>
      <c r="O45" s="134"/>
      <c r="P45" s="134"/>
      <c r="Q45" s="134"/>
      <c r="R45" s="134"/>
      <c r="S45" s="91"/>
      <c r="V45" s="103"/>
      <c r="W45" s="103"/>
    </row>
    <row r="46" spans="2:23">
      <c r="B46" s="89"/>
      <c r="C46" s="74" t="s">
        <v>79</v>
      </c>
      <c r="E46" s="114" t="s">
        <v>157</v>
      </c>
      <c r="F46" s="252"/>
      <c r="G46" s="252"/>
      <c r="H46" s="252"/>
      <c r="I46" s="135">
        <v>41.7</v>
      </c>
      <c r="J46" s="135">
        <v>42.5</v>
      </c>
      <c r="K46" s="135">
        <v>43.3</v>
      </c>
      <c r="L46" s="135">
        <v>44.2</v>
      </c>
      <c r="M46" s="135">
        <v>45</v>
      </c>
      <c r="N46" s="135">
        <v>45.9</v>
      </c>
      <c r="O46" s="135">
        <v>46.8</v>
      </c>
      <c r="P46" s="135">
        <v>47.8</v>
      </c>
      <c r="Q46" s="135">
        <v>48.7</v>
      </c>
      <c r="R46" s="136">
        <v>49.7</v>
      </c>
      <c r="S46" s="91"/>
    </row>
    <row r="47" spans="2:23">
      <c r="B47" s="89"/>
      <c r="C47" s="137"/>
      <c r="D47" s="137"/>
      <c r="E47" s="137"/>
      <c r="F47" s="253"/>
      <c r="G47" s="253"/>
      <c r="H47" s="253"/>
      <c r="I47" s="138"/>
      <c r="J47" s="138"/>
      <c r="K47" s="138"/>
      <c r="L47" s="138"/>
      <c r="M47" s="138"/>
      <c r="N47" s="139"/>
      <c r="O47" s="139"/>
      <c r="P47" s="139"/>
      <c r="Q47" s="139"/>
      <c r="R47" s="139"/>
      <c r="S47" s="91"/>
    </row>
    <row r="48" spans="2:23">
      <c r="B48" s="89"/>
      <c r="C48" s="140" t="s">
        <v>167</v>
      </c>
      <c r="D48" s="140"/>
      <c r="E48" s="121" t="s">
        <v>157</v>
      </c>
      <c r="F48" s="141">
        <f>+F41-F44-F46</f>
        <v>136.89999999999998</v>
      </c>
      <c r="G48" s="141">
        <f>+G41-G44-G46</f>
        <v>142.27810229999994</v>
      </c>
      <c r="H48" s="141">
        <f>+H41-H44-H46</f>
        <v>112.47994519999997</v>
      </c>
      <c r="I48" s="141">
        <f>+I41-I44-I46</f>
        <v>35.849479440293848</v>
      </c>
      <c r="J48" s="141">
        <f>+J41-J44-J46</f>
        <v>59.176848301847556</v>
      </c>
      <c r="K48" s="141">
        <f>+K41-K44-K46</f>
        <v>77.543840262484139</v>
      </c>
      <c r="L48" s="141">
        <f>+L41-L44-L46</f>
        <v>90.285975469652712</v>
      </c>
      <c r="M48" s="141">
        <f>+M41-M44-M46</f>
        <v>104.39239017773758</v>
      </c>
      <c r="N48" s="141">
        <f>+N41-N44-N46</f>
        <v>110.24359260354399</v>
      </c>
      <c r="O48" s="141">
        <f>+O41-O44-O46</f>
        <v>114.8833381389871</v>
      </c>
      <c r="P48" s="141">
        <f>+P41-P44-P46</f>
        <v>119.56462009960661</v>
      </c>
      <c r="Q48" s="141">
        <f>+Q41-Q44-Q46</f>
        <v>124.49088404419517</v>
      </c>
      <c r="R48" s="141">
        <f>+R41-R44-R46</f>
        <v>129.46565673932764</v>
      </c>
      <c r="S48" s="91"/>
    </row>
    <row r="49" spans="2:20">
      <c r="B49" s="89"/>
      <c r="C49" s="11"/>
      <c r="D49" s="11"/>
      <c r="E49" s="11"/>
      <c r="F49" s="254"/>
      <c r="G49" s="254"/>
      <c r="H49" s="254"/>
      <c r="I49" s="142"/>
      <c r="J49" s="142"/>
      <c r="K49" s="142"/>
      <c r="L49" s="142"/>
      <c r="M49" s="142"/>
      <c r="N49" s="142"/>
      <c r="O49" s="142"/>
      <c r="P49" s="142"/>
      <c r="Q49" s="142"/>
      <c r="R49" s="142"/>
      <c r="S49" s="91"/>
    </row>
    <row r="50" spans="2:20" ht="18">
      <c r="B50" s="89"/>
      <c r="C50" s="74" t="s">
        <v>168</v>
      </c>
      <c r="D50" s="143">
        <v>0.24</v>
      </c>
      <c r="E50" s="114" t="s">
        <v>157</v>
      </c>
      <c r="F50" s="255"/>
      <c r="G50" s="255"/>
      <c r="H50" s="255"/>
      <c r="I50" s="144">
        <f>I48*$D$50</f>
        <v>8.6038750656705236</v>
      </c>
      <c r="J50" s="144">
        <f t="shared" ref="J50:R50" si="13">J48*$D$50</f>
        <v>14.202443592443412</v>
      </c>
      <c r="K50" s="144">
        <f t="shared" si="13"/>
        <v>18.610521662996192</v>
      </c>
      <c r="L50" s="144">
        <f t="shared" si="13"/>
        <v>21.668634112716649</v>
      </c>
      <c r="M50" s="144">
        <f t="shared" si="13"/>
        <v>25.05417364265702</v>
      </c>
      <c r="N50" s="144">
        <f t="shared" si="13"/>
        <v>26.458462224850557</v>
      </c>
      <c r="O50" s="144">
        <f t="shared" si="13"/>
        <v>27.572001153356904</v>
      </c>
      <c r="P50" s="144">
        <f t="shared" si="13"/>
        <v>28.695508823905588</v>
      </c>
      <c r="Q50" s="144">
        <f t="shared" si="13"/>
        <v>29.877812170606841</v>
      </c>
      <c r="R50" s="144">
        <f t="shared" si="13"/>
        <v>31.071757617438632</v>
      </c>
      <c r="S50" s="91"/>
      <c r="T50" s="145"/>
    </row>
    <row r="51" spans="2:20">
      <c r="B51" s="89"/>
      <c r="C51" s="137"/>
      <c r="D51" s="137"/>
      <c r="E51" s="137"/>
      <c r="F51" s="256"/>
      <c r="G51" s="256"/>
      <c r="H51" s="256"/>
      <c r="I51" s="146"/>
      <c r="J51" s="146"/>
      <c r="K51" s="146"/>
      <c r="L51" s="146"/>
      <c r="M51" s="146"/>
      <c r="N51" s="146"/>
      <c r="O51" s="146"/>
      <c r="P51" s="146"/>
      <c r="Q51" s="146"/>
      <c r="R51" s="146"/>
      <c r="S51" s="91"/>
    </row>
    <row r="52" spans="2:20">
      <c r="B52" s="89"/>
      <c r="C52" s="140" t="s">
        <v>87</v>
      </c>
      <c r="D52" s="140"/>
      <c r="E52" s="121" t="s">
        <v>157</v>
      </c>
      <c r="F52" s="257"/>
      <c r="G52" s="257"/>
      <c r="H52" s="257"/>
      <c r="I52" s="141">
        <f t="shared" ref="I52:R52" si="14">I48-I50</f>
        <v>27.245604374623326</v>
      </c>
      <c r="J52" s="141">
        <f t="shared" si="14"/>
        <v>44.974404709404141</v>
      </c>
      <c r="K52" s="141">
        <f t="shared" si="14"/>
        <v>58.933318599487947</v>
      </c>
      <c r="L52" s="141">
        <f t="shared" si="14"/>
        <v>68.617341356936066</v>
      </c>
      <c r="M52" s="141">
        <f t="shared" si="14"/>
        <v>79.338216535080562</v>
      </c>
      <c r="N52" s="141">
        <f t="shared" si="14"/>
        <v>83.785130378693424</v>
      </c>
      <c r="O52" s="141">
        <f t="shared" si="14"/>
        <v>87.311336985630192</v>
      </c>
      <c r="P52" s="141">
        <f t="shared" si="14"/>
        <v>90.86911127570103</v>
      </c>
      <c r="Q52" s="141">
        <f t="shared" si="14"/>
        <v>94.613071873588325</v>
      </c>
      <c r="R52" s="141">
        <f t="shared" si="14"/>
        <v>98.393899121889007</v>
      </c>
      <c r="S52" s="91"/>
    </row>
    <row r="53" spans="2:20">
      <c r="B53" s="147"/>
      <c r="C53" s="245" t="s">
        <v>88</v>
      </c>
      <c r="D53" s="36"/>
      <c r="E53" s="278" t="s">
        <v>68</v>
      </c>
      <c r="F53" s="243"/>
      <c r="G53" s="243"/>
      <c r="H53" s="243"/>
      <c r="I53" s="244">
        <f>I52/I26</f>
        <v>4.233173264766199E-2</v>
      </c>
      <c r="J53" s="244">
        <f>J52/J26</f>
        <v>6.2628781928564428E-2</v>
      </c>
      <c r="K53" s="244">
        <f>K52/K26</f>
        <v>7.7415748735058965E-2</v>
      </c>
      <c r="L53" s="244">
        <f>L52/L26</f>
        <v>8.5059526785093806E-2</v>
      </c>
      <c r="M53" s="244">
        <f>M52/M26</f>
        <v>9.2702439002492268E-2</v>
      </c>
      <c r="N53" s="244">
        <f>N52/N26</f>
        <v>9.5313641931637424E-2</v>
      </c>
      <c r="O53" s="244">
        <f>O52/O26</f>
        <v>9.7377491176082326E-2</v>
      </c>
      <c r="P53" s="244">
        <f>P52/P26</f>
        <v>9.9358276953516109E-2</v>
      </c>
      <c r="Q53" s="244">
        <f>Q52/Q26</f>
        <v>0.10142353479491249</v>
      </c>
      <c r="R53" s="244">
        <f>R52/R26</f>
        <v>0.10340834758872661</v>
      </c>
      <c r="S53" s="150"/>
    </row>
    <row r="54" spans="2:20">
      <c r="C54" s="11"/>
      <c r="D54" s="11"/>
      <c r="E54" s="123"/>
      <c r="F54" s="151"/>
      <c r="G54" s="151"/>
      <c r="H54" s="151"/>
      <c r="I54" s="151"/>
      <c r="J54" s="151"/>
      <c r="K54" s="151"/>
      <c r="L54" s="151"/>
      <c r="M54" s="151"/>
      <c r="N54" s="151"/>
      <c r="O54" s="151"/>
      <c r="P54" s="151"/>
      <c r="Q54" s="151"/>
      <c r="R54" s="151"/>
    </row>
    <row r="55" spans="2:20">
      <c r="B55" s="152"/>
      <c r="C55" s="140"/>
      <c r="D55" s="140"/>
      <c r="E55" s="148"/>
      <c r="F55" s="149"/>
      <c r="G55" s="149"/>
      <c r="H55" s="149"/>
      <c r="I55" s="149"/>
      <c r="J55" s="149"/>
      <c r="K55" s="149"/>
      <c r="L55" s="149"/>
      <c r="M55" s="149"/>
      <c r="N55" s="149"/>
      <c r="O55" s="149"/>
      <c r="P55" s="149"/>
      <c r="Q55" s="149"/>
      <c r="R55" s="149"/>
      <c r="S55" s="152"/>
    </row>
    <row r="56" spans="2:20">
      <c r="B56" s="89"/>
      <c r="F56" s="153"/>
      <c r="G56" s="153"/>
      <c r="H56" s="153"/>
      <c r="I56" s="134"/>
      <c r="J56" s="134"/>
      <c r="K56" s="134"/>
      <c r="L56" s="134"/>
      <c r="M56" s="134"/>
      <c r="N56" s="134"/>
      <c r="O56" s="134"/>
      <c r="P56" s="134"/>
      <c r="Q56" s="134"/>
      <c r="R56" s="134"/>
      <c r="S56" s="91"/>
    </row>
    <row r="57" spans="2:20">
      <c r="B57" s="40" t="s">
        <v>89</v>
      </c>
      <c r="C57" s="29"/>
      <c r="D57" s="29"/>
      <c r="E57" s="29"/>
      <c r="F57" s="29"/>
      <c r="G57" s="51"/>
      <c r="H57" s="29"/>
      <c r="I57" s="29"/>
      <c r="J57" s="29"/>
      <c r="K57" s="29"/>
      <c r="L57" s="29"/>
      <c r="M57" s="29"/>
      <c r="N57" s="29"/>
      <c r="O57" s="29"/>
      <c r="P57" s="29"/>
      <c r="Q57" s="29"/>
      <c r="R57" s="29"/>
      <c r="S57" s="96"/>
    </row>
    <row r="58" spans="2:20">
      <c r="B58" s="24"/>
      <c r="C58" s="10"/>
      <c r="D58" s="10"/>
      <c r="E58" s="10"/>
      <c r="F58" s="10"/>
      <c r="G58" s="17"/>
      <c r="H58" s="11"/>
      <c r="I58" s="11"/>
      <c r="J58" s="11"/>
      <c r="K58" s="11"/>
      <c r="L58" s="11"/>
      <c r="M58" s="11"/>
      <c r="N58" s="10"/>
      <c r="O58" s="10"/>
      <c r="P58" s="10"/>
      <c r="Q58" s="10"/>
      <c r="S58" s="91"/>
    </row>
    <row r="59" spans="2:20">
      <c r="B59" s="24"/>
      <c r="C59" s="68" t="s">
        <v>91</v>
      </c>
      <c r="D59" s="28">
        <v>756.1</v>
      </c>
      <c r="E59" s="114" t="s">
        <v>157</v>
      </c>
      <c r="F59" s="10"/>
      <c r="G59" s="17"/>
      <c r="H59" s="11"/>
      <c r="I59" s="11"/>
      <c r="J59" s="11"/>
      <c r="K59" s="11"/>
      <c r="L59" s="11"/>
      <c r="M59" s="11"/>
      <c r="N59" s="10"/>
      <c r="O59" s="10"/>
      <c r="P59" s="10"/>
      <c r="Q59" s="10"/>
      <c r="S59" s="91"/>
    </row>
    <row r="60" spans="2:20">
      <c r="B60" s="89"/>
      <c r="C60" s="68" t="s">
        <v>92</v>
      </c>
      <c r="D60" s="154">
        <v>3.5999999999999997E-2</v>
      </c>
      <c r="E60" s="103" t="s">
        <v>68</v>
      </c>
      <c r="G60" s="155"/>
      <c r="H60" s="156"/>
      <c r="I60"/>
      <c r="J60" s="11"/>
      <c r="K60" s="52"/>
      <c r="L60" s="52"/>
      <c r="M60" s="52"/>
      <c r="N60" s="17"/>
      <c r="S60" s="91"/>
    </row>
    <row r="61" spans="2:20">
      <c r="B61" s="61"/>
      <c r="C61" s="68" t="s">
        <v>93</v>
      </c>
      <c r="D61" s="157">
        <v>2.2179999999999998E-2</v>
      </c>
      <c r="E61" s="103" t="s">
        <v>68</v>
      </c>
      <c r="G61" s="17"/>
      <c r="H61" s="11"/>
      <c r="I61" s="11"/>
      <c r="J61" s="11" t="s">
        <v>169</v>
      </c>
      <c r="K61" s="55"/>
      <c r="L61" s="55"/>
      <c r="M61" s="55"/>
      <c r="N61" s="158"/>
      <c r="S61" s="91"/>
      <c r="T61" s="159" t="s">
        <v>186</v>
      </c>
    </row>
    <row r="62" spans="2:20">
      <c r="B62" s="61"/>
      <c r="C62" s="68" t="s">
        <v>170</v>
      </c>
      <c r="D62" s="220">
        <f>D59/H41</f>
        <v>6.7220872010168815</v>
      </c>
      <c r="E62" s="103" t="s">
        <v>171</v>
      </c>
      <c r="G62" s="17"/>
      <c r="H62" s="11"/>
      <c r="I62" s="11"/>
      <c r="J62" s="11"/>
      <c r="K62" s="55"/>
      <c r="L62" s="55"/>
      <c r="M62" s="55"/>
      <c r="N62" s="158"/>
      <c r="S62" s="91"/>
      <c r="T62" s="159"/>
    </row>
    <row r="63" spans="2:20">
      <c r="B63" s="160"/>
      <c r="C63" s="306"/>
      <c r="D63" s="306"/>
      <c r="E63" s="152"/>
      <c r="F63" s="152"/>
      <c r="G63" s="161"/>
      <c r="H63" s="152"/>
      <c r="I63" s="162"/>
      <c r="J63" s="163"/>
      <c r="K63" s="164"/>
      <c r="L63" s="164"/>
      <c r="M63" s="164"/>
      <c r="N63" s="164"/>
      <c r="O63" s="152"/>
      <c r="P63" s="152"/>
      <c r="Q63" s="152"/>
      <c r="R63" s="152"/>
      <c r="S63" s="150"/>
    </row>
    <row r="64" spans="2:20">
      <c r="B64" s="65"/>
      <c r="C64"/>
      <c r="D64"/>
      <c r="G64" s="103"/>
      <c r="I64" s="165"/>
      <c r="J64" s="166"/>
      <c r="K64" s="158"/>
      <c r="L64" s="158"/>
      <c r="M64" s="158"/>
      <c r="N64" s="158"/>
    </row>
    <row r="65" spans="2:21">
      <c r="B65" s="37"/>
      <c r="C65"/>
      <c r="D65"/>
      <c r="E65" s="152"/>
      <c r="F65" s="152"/>
      <c r="G65" s="161"/>
      <c r="H65" s="152"/>
      <c r="I65" s="162"/>
      <c r="J65" s="163"/>
      <c r="K65" s="164"/>
      <c r="L65" s="164"/>
      <c r="M65" s="164"/>
      <c r="N65" s="164"/>
      <c r="O65" s="152"/>
      <c r="P65" s="152"/>
      <c r="Q65" s="152"/>
      <c r="R65" s="152"/>
      <c r="S65" s="152"/>
    </row>
    <row r="66" spans="2:21">
      <c r="B66" s="89"/>
      <c r="C66" s="307"/>
      <c r="D66" s="307"/>
      <c r="G66" s="103"/>
      <c r="K66" s="17"/>
      <c r="L66" s="17"/>
      <c r="M66" s="17"/>
      <c r="S66" s="91"/>
    </row>
    <row r="67" spans="2:21">
      <c r="B67" s="89"/>
      <c r="D67" s="167"/>
      <c r="G67" s="103"/>
      <c r="K67" s="17"/>
      <c r="L67" s="17"/>
      <c r="M67" s="17"/>
      <c r="S67" s="91"/>
    </row>
    <row r="68" spans="2:21">
      <c r="B68" s="40" t="s">
        <v>172</v>
      </c>
      <c r="C68" s="29"/>
      <c r="D68" s="29"/>
      <c r="E68" s="29"/>
      <c r="F68" s="29"/>
      <c r="G68" s="51"/>
      <c r="H68" s="29"/>
      <c r="I68" s="29"/>
      <c r="J68" s="29"/>
      <c r="K68" s="29"/>
      <c r="L68" s="29"/>
      <c r="M68" s="29"/>
      <c r="N68" s="29"/>
      <c r="O68" s="29"/>
      <c r="P68" s="29"/>
      <c r="Q68" s="29"/>
      <c r="R68" s="29"/>
      <c r="S68" s="96"/>
    </row>
    <row r="69" spans="2:21">
      <c r="B69" s="89"/>
      <c r="F69" s="153"/>
      <c r="G69" s="153"/>
      <c r="H69" s="153"/>
      <c r="I69" s="134"/>
      <c r="J69" s="134"/>
      <c r="K69" s="134"/>
      <c r="L69" s="134"/>
      <c r="M69" s="134"/>
      <c r="N69" s="134"/>
      <c r="O69" s="134"/>
      <c r="P69" s="134"/>
      <c r="Q69" s="134"/>
      <c r="R69" s="134"/>
      <c r="S69" s="91"/>
    </row>
    <row r="70" spans="2:21">
      <c r="B70" s="89"/>
      <c r="C70" s="30"/>
      <c r="D70" s="30"/>
      <c r="E70" s="30"/>
      <c r="F70" s="325" t="s">
        <v>61</v>
      </c>
      <c r="G70" s="325"/>
      <c r="H70" s="326"/>
      <c r="I70" s="97" t="s">
        <v>145</v>
      </c>
      <c r="J70" s="25"/>
      <c r="K70" s="25"/>
      <c r="L70" s="25"/>
      <c r="M70" s="25"/>
      <c r="N70" s="327" t="s">
        <v>146</v>
      </c>
      <c r="O70" s="325"/>
      <c r="P70" s="325"/>
      <c r="Q70" s="325"/>
      <c r="R70" s="325"/>
      <c r="S70" s="91"/>
    </row>
    <row r="71" spans="2:21">
      <c r="B71" s="89"/>
      <c r="C71" s="30"/>
      <c r="D71" s="30"/>
      <c r="E71" s="30" t="s">
        <v>64</v>
      </c>
      <c r="F71" s="30">
        <v>2021</v>
      </c>
      <c r="G71" s="30">
        <v>2022</v>
      </c>
      <c r="H71" s="27">
        <v>2023</v>
      </c>
      <c r="I71" s="98">
        <v>2024</v>
      </c>
      <c r="J71" s="30">
        <v>2025</v>
      </c>
      <c r="K71" s="30">
        <v>2026</v>
      </c>
      <c r="L71" s="30">
        <v>2027</v>
      </c>
      <c r="M71" s="30">
        <v>2028</v>
      </c>
      <c r="N71" s="99">
        <v>2029</v>
      </c>
      <c r="O71" s="30">
        <v>2030</v>
      </c>
      <c r="P71" s="30">
        <v>2031</v>
      </c>
      <c r="Q71" s="30">
        <v>2032</v>
      </c>
      <c r="R71" s="30">
        <v>2033</v>
      </c>
      <c r="S71" s="91"/>
    </row>
    <row r="72" spans="2:21">
      <c r="B72" s="89"/>
      <c r="F72" s="153"/>
      <c r="G72" s="153"/>
      <c r="H72" s="153"/>
      <c r="I72" s="134"/>
      <c r="J72" s="134"/>
      <c r="K72" s="134"/>
      <c r="L72" s="134"/>
      <c r="M72" s="134"/>
      <c r="N72" s="134"/>
      <c r="O72" s="134"/>
      <c r="P72" s="134"/>
      <c r="Q72" s="134"/>
      <c r="R72" s="134"/>
      <c r="S72" s="91"/>
    </row>
    <row r="73" spans="2:21">
      <c r="B73" s="89"/>
      <c r="C73" s="168" t="s">
        <v>173</v>
      </c>
      <c r="D73" s="168"/>
      <c r="E73" s="169"/>
      <c r="F73" s="153"/>
      <c r="H73" s="153"/>
      <c r="I73" s="134"/>
      <c r="J73" s="134"/>
      <c r="K73" s="134"/>
      <c r="L73" s="134"/>
      <c r="M73" s="134"/>
      <c r="N73" s="134"/>
      <c r="O73" s="134"/>
      <c r="P73" s="134"/>
      <c r="Q73" s="134"/>
      <c r="R73" s="134"/>
      <c r="S73" s="91"/>
      <c r="T73" s="74" t="s">
        <v>187</v>
      </c>
    </row>
    <row r="74" spans="2:21">
      <c r="B74" s="89"/>
      <c r="C74" s="74" t="s">
        <v>174</v>
      </c>
      <c r="E74" s="114" t="s">
        <v>157</v>
      </c>
      <c r="F74" s="128">
        <v>-2</v>
      </c>
      <c r="G74" s="128">
        <f>-54</f>
        <v>-54</v>
      </c>
      <c r="H74" s="128">
        <f>-60</f>
        <v>-60</v>
      </c>
      <c r="I74" s="170">
        <f>I83*(I15-H15)</f>
        <v>-2.3368421052631581</v>
      </c>
      <c r="J74" s="170">
        <f>J83*(J15-I15)</f>
        <v>-2.3368421052631581</v>
      </c>
      <c r="K74" s="170">
        <f>K83*(K15-J15)</f>
        <v>-2.3368421052631581</v>
      </c>
      <c r="L74" s="170">
        <f>L83*(L15-K15)</f>
        <v>-2.3368421052631581</v>
      </c>
      <c r="M74" s="170">
        <f>M83*(M15-L15)</f>
        <v>-2.3368421052631581</v>
      </c>
      <c r="N74" s="287">
        <f>N83*(N15-M15)</f>
        <v>-1.4021052631578925</v>
      </c>
      <c r="O74" s="287">
        <f>O83*(O15-N15)</f>
        <v>-1.4301473684210515</v>
      </c>
      <c r="P74" s="287">
        <f>P83*(P15-O15)</f>
        <v>-1.4587503157894746</v>
      </c>
      <c r="Q74" s="287">
        <f>Q83*(Q15-P15)</f>
        <v>-1.4879253221052651</v>
      </c>
      <c r="R74" s="287">
        <f>R83*(R15-Q15)</f>
        <v>-1.5176838285473653</v>
      </c>
      <c r="S74" s="91"/>
      <c r="T74" s="74" t="s">
        <v>188</v>
      </c>
    </row>
    <row r="75" spans="2:21">
      <c r="B75" s="89"/>
      <c r="C75" s="74" t="s">
        <v>189</v>
      </c>
      <c r="E75" s="114" t="s">
        <v>157</v>
      </c>
      <c r="F75" s="128">
        <v>-26.7</v>
      </c>
      <c r="G75" s="128">
        <v>-28.4</v>
      </c>
      <c r="H75" s="128">
        <v>-31.2</v>
      </c>
      <c r="I75" s="285">
        <f>SUM(I76:I78)</f>
        <v>-30.284080393290921</v>
      </c>
      <c r="J75" s="285">
        <f t="shared" ref="J75:R75" si="15">SUM(J76:J78)</f>
        <v>-31.736180451127819</v>
      </c>
      <c r="K75" s="285">
        <f t="shared" si="15"/>
        <v>-32.909806824754192</v>
      </c>
      <c r="L75" s="285">
        <f t="shared" si="15"/>
        <v>-34.083433198380561</v>
      </c>
      <c r="M75" s="285">
        <f t="shared" si="15"/>
        <v>-35.257059572006938</v>
      </c>
      <c r="N75" s="287">
        <f t="shared" si="15"/>
        <v>-35.941928050896472</v>
      </c>
      <c r="O75" s="287">
        <f t="shared" si="15"/>
        <v>-36.660766611914397</v>
      </c>
      <c r="P75" s="287">
        <f t="shared" si="15"/>
        <v>-37.393981944152685</v>
      </c>
      <c r="Q75" s="287">
        <f t="shared" si="15"/>
        <v>-38.141861583035741</v>
      </c>
      <c r="R75" s="287">
        <f t="shared" si="15"/>
        <v>-38.904698814696452</v>
      </c>
      <c r="S75" s="91"/>
      <c r="T75" s="74" t="s">
        <v>190</v>
      </c>
      <c r="U75" s="173" t="s">
        <v>191</v>
      </c>
    </row>
    <row r="76" spans="2:21">
      <c r="B76" s="89"/>
      <c r="C76" s="259" t="s">
        <v>192</v>
      </c>
      <c r="E76" s="114"/>
      <c r="F76" s="261">
        <f>F75/F15</f>
        <v>-9.7802197802197802E-2</v>
      </c>
      <c r="G76" s="261">
        <f>G75/G15</f>
        <v>-9.9649122807017543E-2</v>
      </c>
      <c r="H76" s="261">
        <f>H75/H15</f>
        <v>-0.104</v>
      </c>
      <c r="I76" s="262">
        <f>AVERAGEA($G$76:$H$76)*(I15-H15)</f>
        <v>-1.2218947368421051</v>
      </c>
      <c r="J76" s="262">
        <f>AVERAGEA($G$76:$H$76)*(J15-I15)</f>
        <v>-1.2218947368421051</v>
      </c>
      <c r="K76" s="262">
        <f>AVERAGEA($G$76:$H$76)*(K15-J15)</f>
        <v>-1.2218947368421051</v>
      </c>
      <c r="L76" s="262">
        <f>AVERAGEA($G$76:$H$76)*(L15-K15)</f>
        <v>-1.2218947368421051</v>
      </c>
      <c r="M76" s="262">
        <f>AVERAGEA($G$76:$H$76)*(M15-L15)</f>
        <v>-1.2218947368421051</v>
      </c>
      <c r="N76" s="288">
        <f>AVERAGEA($G$76:$H$76)*(N15-M15)</f>
        <v>-0.73313684210526198</v>
      </c>
      <c r="O76" s="288">
        <f>AVERAGEA($G$76:$H$76)*(O15-N15)</f>
        <v>-0.7477995789473677</v>
      </c>
      <c r="P76" s="288">
        <f>AVERAGEA($G$76:$H$76)*(P15-O15)</f>
        <v>-0.76275557052631615</v>
      </c>
      <c r="Q76" s="288">
        <f>AVERAGEA($G$76:$H$76)*(Q15-P15)</f>
        <v>-0.77801068193684308</v>
      </c>
      <c r="R76" s="288">
        <f>AVERAGEA($G$76:$H$76)*(R15-Q15)</f>
        <v>-0.79357089557557725</v>
      </c>
      <c r="S76" s="91"/>
      <c r="U76" s="173"/>
    </row>
    <row r="77" spans="2:21">
      <c r="B77" s="89"/>
      <c r="C77" s="259" t="s">
        <v>193</v>
      </c>
      <c r="E77" s="114"/>
      <c r="F77" s="128"/>
      <c r="G77" s="128"/>
      <c r="H77" s="128"/>
      <c r="I77" s="262">
        <f>$F$76*H15</f>
        <v>-29.340659340659339</v>
      </c>
      <c r="J77" s="262">
        <f>$F$76*I15</f>
        <v>-30.514285714285712</v>
      </c>
      <c r="K77" s="262">
        <f>$F$76*J15</f>
        <v>-31.687912087912089</v>
      </c>
      <c r="L77" s="262">
        <f>$F$76*K15</f>
        <v>-32.861538461538458</v>
      </c>
      <c r="M77" s="262">
        <f>$F$76*L15</f>
        <v>-34.035164835164835</v>
      </c>
      <c r="N77" s="288">
        <f>$F$76*M15</f>
        <v>-35.208791208791212</v>
      </c>
      <c r="O77" s="288">
        <f>$F$76*N15</f>
        <v>-35.912967032967032</v>
      </c>
      <c r="P77" s="288">
        <f>$F$76*O15</f>
        <v>-36.631226373626369</v>
      </c>
      <c r="Q77" s="288">
        <f>$F$76*P15</f>
        <v>-37.3638509010989</v>
      </c>
      <c r="R77" s="288">
        <f>$F$76*Q15</f>
        <v>-38.111127919120875</v>
      </c>
      <c r="S77" s="91"/>
      <c r="U77" s="173"/>
    </row>
    <row r="78" spans="2:21">
      <c r="B78" s="89"/>
      <c r="C78" s="312" t="s">
        <v>194</v>
      </c>
      <c r="D78" s="137"/>
      <c r="E78" s="171" t="s">
        <v>157</v>
      </c>
      <c r="F78" s="172"/>
      <c r="G78" s="172"/>
      <c r="H78" s="172"/>
      <c r="I78" s="303">
        <f>'Key Assumptions'!$E$18</f>
        <v>0.27847368421052632</v>
      </c>
      <c r="J78" s="303">
        <v>0</v>
      </c>
      <c r="K78" s="303">
        <v>0</v>
      </c>
      <c r="L78" s="303">
        <v>0</v>
      </c>
      <c r="M78" s="303">
        <v>0</v>
      </c>
      <c r="N78" s="303">
        <v>0</v>
      </c>
      <c r="O78" s="303">
        <v>0</v>
      </c>
      <c r="P78" s="303">
        <v>0</v>
      </c>
      <c r="Q78" s="303">
        <v>0</v>
      </c>
      <c r="R78" s="303">
        <v>0</v>
      </c>
      <c r="S78" s="91"/>
      <c r="U78" s="173"/>
    </row>
    <row r="79" spans="2:21">
      <c r="B79" s="89"/>
      <c r="C79" s="57" t="s">
        <v>177</v>
      </c>
      <c r="D79" s="57"/>
      <c r="E79" s="174" t="s">
        <v>157</v>
      </c>
      <c r="F79" s="175">
        <f>F74+F75</f>
        <v>-28.7</v>
      </c>
      <c r="G79" s="175">
        <f t="shared" ref="G79:H79" si="16">G74+G75</f>
        <v>-82.4</v>
      </c>
      <c r="H79" s="175">
        <f t="shared" si="16"/>
        <v>-91.2</v>
      </c>
      <c r="I79" s="304">
        <f>I74+I75</f>
        <v>-32.62092249855408</v>
      </c>
      <c r="J79" s="304">
        <f>J74+J75</f>
        <v>-34.073022556390974</v>
      </c>
      <c r="K79" s="304">
        <f>K74+K75+K78</f>
        <v>-35.246648930017351</v>
      </c>
      <c r="L79" s="304">
        <f>L74+L75+L78</f>
        <v>-36.42027530364372</v>
      </c>
      <c r="M79" s="304">
        <f>M74+M75+M78</f>
        <v>-37.593901677270097</v>
      </c>
      <c r="N79" s="305">
        <f>N74+N75+N78</f>
        <v>-37.344033314054364</v>
      </c>
      <c r="O79" s="305">
        <f>O74+O75+O78</f>
        <v>-38.090913980335451</v>
      </c>
      <c r="P79" s="305">
        <f>P74+P75+P78</f>
        <v>-38.852732259942158</v>
      </c>
      <c r="Q79" s="305">
        <f>Q74+Q75+Q78</f>
        <v>-39.629786905141003</v>
      </c>
      <c r="R79" s="305">
        <f>R74+R75+R78</f>
        <v>-40.422382643243814</v>
      </c>
      <c r="S79" s="91"/>
      <c r="U79" s="11" t="s">
        <v>195</v>
      </c>
    </row>
    <row r="80" spans="2:21">
      <c r="B80" s="89"/>
      <c r="F80" s="176"/>
      <c r="G80" s="176"/>
      <c r="H80" s="177"/>
      <c r="I80" s="178"/>
      <c r="J80" s="134"/>
      <c r="K80" s="134"/>
      <c r="L80" s="134"/>
      <c r="M80" s="134"/>
      <c r="N80" s="134"/>
      <c r="O80" s="134"/>
      <c r="P80" s="134"/>
      <c r="Q80" s="134"/>
      <c r="R80" s="134"/>
      <c r="S80" s="91"/>
    </row>
    <row r="81" spans="2:20">
      <c r="B81" s="89"/>
      <c r="C81" s="74" t="s">
        <v>98</v>
      </c>
      <c r="E81" s="114" t="s">
        <v>157</v>
      </c>
      <c r="F81" s="128">
        <v>-8.14</v>
      </c>
      <c r="G81" s="128">
        <v>-8.39</v>
      </c>
      <c r="H81" s="128">
        <v>-8.3699999999999992</v>
      </c>
      <c r="I81" s="179">
        <f>'Key Assumptions'!E20</f>
        <v>-8.3699999999999992</v>
      </c>
      <c r="J81" s="179">
        <f>'Valuation_10%IRR '!I81-'Key Assumptions'!$E$21</f>
        <v>-6.2774999999999999</v>
      </c>
      <c r="K81" s="179">
        <f>'Valuation_10%IRR '!J81-'Key Assumptions'!$E$21</f>
        <v>-4.1850000000000005</v>
      </c>
      <c r="L81" s="179">
        <f>'Valuation_10%IRR '!K81-'Key Assumptions'!$E$21</f>
        <v>-2.0925000000000007</v>
      </c>
      <c r="M81" s="179">
        <f>'Valuation_10%IRR '!L81-'Key Assumptions'!$E$21</f>
        <v>0</v>
      </c>
      <c r="N81" s="179">
        <f>'Key Assumptions'!$E$22</f>
        <v>0</v>
      </c>
      <c r="O81" s="179">
        <f>'Key Assumptions'!$E$22</f>
        <v>0</v>
      </c>
      <c r="P81" s="179">
        <f>'Key Assumptions'!$E$22</f>
        <v>0</v>
      </c>
      <c r="Q81" s="179">
        <f>'Key Assumptions'!$E$22</f>
        <v>0</v>
      </c>
      <c r="R81" s="179">
        <f>'Key Assumptions'!$E$22</f>
        <v>0</v>
      </c>
      <c r="S81" s="91"/>
    </row>
    <row r="82" spans="2:20">
      <c r="B82" s="89"/>
      <c r="C82" s="125"/>
      <c r="F82" s="180"/>
      <c r="G82" s="263"/>
      <c r="H82" s="263"/>
      <c r="I82" s="263"/>
      <c r="J82" s="263"/>
      <c r="K82" s="263"/>
      <c r="L82" s="263"/>
      <c r="M82" s="263"/>
      <c r="N82" s="263"/>
      <c r="O82" s="263"/>
      <c r="P82" s="263"/>
      <c r="Q82" s="263"/>
      <c r="R82" s="263"/>
      <c r="S82" s="91"/>
    </row>
    <row r="83" spans="2:20">
      <c r="B83" s="264"/>
      <c r="C83" s="259" t="s">
        <v>196</v>
      </c>
      <c r="D83" s="259"/>
      <c r="E83" s="259"/>
      <c r="F83" s="260"/>
      <c r="G83" s="261">
        <f>G74/G15</f>
        <v>-0.18947368421052632</v>
      </c>
      <c r="H83" s="261">
        <f>H74/H15</f>
        <v>-0.2</v>
      </c>
      <c r="I83" s="262">
        <f>AVERAGEA($G$83:$H$83)</f>
        <v>-0.19473684210526315</v>
      </c>
      <c r="J83" s="262">
        <f>AVERAGEA($G$83:$H$83)</f>
        <v>-0.19473684210526315</v>
      </c>
      <c r="K83" s="262">
        <f>AVERAGEA($G$83:$H$83)</f>
        <v>-0.19473684210526315</v>
      </c>
      <c r="L83" s="262">
        <f>AVERAGEA($G$83:$H$83)</f>
        <v>-0.19473684210526315</v>
      </c>
      <c r="M83" s="262">
        <f>AVERAGEA($G$83:$H$83)</f>
        <v>-0.19473684210526315</v>
      </c>
      <c r="N83" s="288">
        <f>AVERAGEA($G$83:$H$83)</f>
        <v>-0.19473684210526315</v>
      </c>
      <c r="O83" s="288">
        <f>AVERAGEA($G$83:$H$83)</f>
        <v>-0.19473684210526315</v>
      </c>
      <c r="P83" s="288">
        <f>AVERAGEA($G$83:$H$83)</f>
        <v>-0.19473684210526315</v>
      </c>
      <c r="Q83" s="288">
        <f>AVERAGEA($G$83:$H$83)</f>
        <v>-0.19473684210526315</v>
      </c>
      <c r="R83" s="288">
        <f>AVERAGEA($G$83:$H$83)</f>
        <v>-0.19473684210526315</v>
      </c>
      <c r="S83" s="265"/>
    </row>
    <row r="84" spans="2:20">
      <c r="B84" s="264"/>
      <c r="C84" s="259" t="s">
        <v>197</v>
      </c>
      <c r="D84" s="259"/>
      <c r="E84" s="259"/>
      <c r="I84" s="262">
        <f>SUM(I76:I77)</f>
        <v>-30.562554077501446</v>
      </c>
      <c r="J84" s="262">
        <f>SUM(J76:J77)</f>
        <v>-31.736180451127819</v>
      </c>
      <c r="K84" s="262">
        <f>SUM(K76:K77)</f>
        <v>-32.909806824754192</v>
      </c>
      <c r="L84" s="262">
        <f>SUM(L76:L77)</f>
        <v>-34.083433198380561</v>
      </c>
      <c r="M84" s="262">
        <f>SUM(M76:M77)</f>
        <v>-35.257059572006938</v>
      </c>
      <c r="N84" s="288">
        <f>SUM(N76:N77)</f>
        <v>-35.941928050896472</v>
      </c>
      <c r="O84" s="288">
        <f>SUM(O76:O77)</f>
        <v>-36.660766611914397</v>
      </c>
      <c r="P84" s="288">
        <f>SUM(P76:P77)</f>
        <v>-37.393981944152685</v>
      </c>
      <c r="Q84" s="288">
        <f>SUM(Q76:Q77)</f>
        <v>-38.141861583035741</v>
      </c>
      <c r="R84" s="288">
        <f>SUM(R76:R77)</f>
        <v>-38.904698814696452</v>
      </c>
      <c r="S84" s="266"/>
      <c r="T84" s="74" t="s">
        <v>198</v>
      </c>
    </row>
    <row r="85" spans="2:20">
      <c r="B85" s="264"/>
      <c r="C85" s="259" t="s">
        <v>199</v>
      </c>
      <c r="D85" s="259"/>
      <c r="E85" s="259"/>
      <c r="F85" s="260"/>
      <c r="G85" s="261"/>
      <c r="H85" s="261"/>
      <c r="S85" s="266"/>
      <c r="T85" s="74" t="s">
        <v>200</v>
      </c>
    </row>
    <row r="86" spans="2:20">
      <c r="B86" s="267"/>
      <c r="C86" s="268" t="s">
        <v>201</v>
      </c>
      <c r="D86" s="268"/>
      <c r="E86" s="268"/>
      <c r="F86" s="269"/>
      <c r="G86" s="270"/>
      <c r="H86" s="270"/>
      <c r="I86" s="291"/>
      <c r="J86" s="291"/>
      <c r="K86" s="291"/>
      <c r="L86" s="291"/>
      <c r="M86" s="291"/>
      <c r="N86" s="291"/>
      <c r="O86" s="291"/>
      <c r="P86" s="291"/>
      <c r="Q86" s="291"/>
      <c r="R86" s="291"/>
      <c r="S86" s="271"/>
    </row>
    <row r="87" spans="2:20">
      <c r="F87" s="180"/>
      <c r="G87" s="181"/>
      <c r="H87" s="181"/>
      <c r="I87" s="181"/>
      <c r="J87" s="181"/>
      <c r="K87" s="181"/>
      <c r="L87" s="181"/>
      <c r="M87" s="181"/>
      <c r="N87" s="181"/>
      <c r="O87" s="181"/>
      <c r="P87" s="181"/>
      <c r="Q87" s="181"/>
      <c r="R87" s="181"/>
      <c r="T87" s="286" t="s">
        <v>202</v>
      </c>
    </row>
    <row r="88" spans="2:20">
      <c r="F88" s="180"/>
      <c r="G88" s="181"/>
      <c r="H88" s="181"/>
      <c r="I88" s="181"/>
      <c r="J88" s="181"/>
      <c r="K88" s="181"/>
      <c r="L88" s="181"/>
      <c r="M88" s="181"/>
      <c r="N88" s="181"/>
      <c r="O88" s="181"/>
      <c r="P88" s="181"/>
      <c r="Q88" s="181"/>
      <c r="R88" s="181"/>
      <c r="T88" s="207"/>
    </row>
    <row r="89" spans="2:20">
      <c r="B89" s="272"/>
      <c r="C89" s="273"/>
      <c r="D89" s="273"/>
      <c r="E89" s="273"/>
      <c r="F89" s="274"/>
      <c r="G89" s="275"/>
      <c r="H89" s="275"/>
      <c r="I89" s="275"/>
      <c r="J89" s="275"/>
      <c r="K89" s="275"/>
      <c r="L89" s="275"/>
      <c r="M89" s="275"/>
      <c r="N89" s="275"/>
      <c r="O89" s="275"/>
      <c r="P89" s="275"/>
      <c r="Q89" s="275"/>
      <c r="R89" s="275"/>
      <c r="S89" s="276"/>
    </row>
    <row r="90" spans="2:20">
      <c r="B90" s="89"/>
      <c r="F90" s="180"/>
      <c r="G90" s="181"/>
      <c r="H90" s="181"/>
      <c r="I90" s="181"/>
      <c r="J90" s="181"/>
      <c r="K90" s="181"/>
      <c r="L90" s="181"/>
      <c r="M90" s="181"/>
      <c r="N90" s="181"/>
      <c r="O90" s="181"/>
      <c r="P90" s="181"/>
      <c r="Q90" s="181"/>
      <c r="R90" s="181"/>
      <c r="S90" s="91"/>
    </row>
    <row r="91" spans="2:20">
      <c r="B91" s="40" t="s">
        <v>178</v>
      </c>
      <c r="C91" s="29"/>
      <c r="D91" s="29"/>
      <c r="E91" s="29"/>
      <c r="F91" s="29"/>
      <c r="G91" s="51"/>
      <c r="H91" s="29"/>
      <c r="I91" s="29"/>
      <c r="J91" s="29"/>
      <c r="K91" s="29"/>
      <c r="L91" s="29"/>
      <c r="M91" s="29"/>
      <c r="N91" s="29"/>
      <c r="O91" s="29"/>
      <c r="P91" s="29"/>
      <c r="Q91" s="29"/>
      <c r="R91" s="29"/>
      <c r="S91" s="96"/>
    </row>
    <row r="92" spans="2:20">
      <c r="B92" s="89"/>
      <c r="F92" s="180"/>
      <c r="G92" s="181"/>
      <c r="H92" s="181"/>
      <c r="I92" s="182"/>
      <c r="J92" s="182"/>
      <c r="K92" s="182"/>
      <c r="L92" s="182"/>
      <c r="M92" s="182"/>
      <c r="N92" s="182"/>
      <c r="O92" s="182"/>
      <c r="P92" s="182"/>
      <c r="Q92" s="182"/>
      <c r="R92" s="182"/>
      <c r="S92" s="91"/>
    </row>
    <row r="93" spans="2:20">
      <c r="B93" s="89"/>
      <c r="C93" s="30"/>
      <c r="D93" s="30"/>
      <c r="E93" s="30"/>
      <c r="F93" s="325"/>
      <c r="G93" s="325"/>
      <c r="H93" s="326"/>
      <c r="I93" s="97" t="s">
        <v>145</v>
      </c>
      <c r="J93" s="25"/>
      <c r="K93" s="25"/>
      <c r="L93" s="25"/>
      <c r="M93" s="25"/>
      <c r="N93" s="327" t="s">
        <v>146</v>
      </c>
      <c r="O93" s="325"/>
      <c r="P93" s="325"/>
      <c r="Q93" s="325"/>
      <c r="R93" s="325"/>
      <c r="S93" s="91"/>
    </row>
    <row r="94" spans="2:20">
      <c r="B94" s="89"/>
      <c r="C94" s="30"/>
      <c r="D94" s="30"/>
      <c r="E94" s="30"/>
      <c r="F94" s="30"/>
      <c r="G94" s="30"/>
      <c r="H94" s="30" t="s">
        <v>64</v>
      </c>
      <c r="I94" s="98">
        <v>2024</v>
      </c>
      <c r="J94" s="30">
        <v>2025</v>
      </c>
      <c r="K94" s="30">
        <v>2026</v>
      </c>
      <c r="L94" s="30">
        <v>2027</v>
      </c>
      <c r="M94" s="30">
        <v>2028</v>
      </c>
      <c r="N94" s="99">
        <v>2029</v>
      </c>
      <c r="O94" s="30">
        <v>2030</v>
      </c>
      <c r="P94" s="30">
        <v>2031</v>
      </c>
      <c r="Q94" s="30">
        <v>2032</v>
      </c>
      <c r="R94" s="30">
        <v>2033</v>
      </c>
      <c r="S94" s="91"/>
    </row>
    <row r="95" spans="2:20">
      <c r="B95" s="89"/>
      <c r="F95" s="180"/>
      <c r="G95" s="180"/>
      <c r="I95" s="182"/>
      <c r="J95" s="182"/>
      <c r="K95" s="182"/>
      <c r="L95" s="182"/>
      <c r="M95" s="182"/>
      <c r="N95" s="182"/>
      <c r="O95" s="182"/>
      <c r="P95" s="182"/>
      <c r="Q95" s="182"/>
      <c r="R95" s="182"/>
      <c r="S95" s="91"/>
    </row>
    <row r="96" spans="2:20">
      <c r="B96" s="89"/>
      <c r="C96" s="74" t="s">
        <v>179</v>
      </c>
      <c r="E96" s="114"/>
      <c r="F96" s="183"/>
      <c r="G96" s="183"/>
      <c r="H96" s="114" t="s">
        <v>157</v>
      </c>
      <c r="I96" s="128">
        <f>I41</f>
        <v>121.53937744029385</v>
      </c>
      <c r="J96" s="128">
        <f t="shared" ref="J96:R96" si="17">J41</f>
        <v>145.66674630184755</v>
      </c>
      <c r="K96" s="128">
        <f t="shared" si="17"/>
        <v>164.83373826248413</v>
      </c>
      <c r="L96" s="128">
        <f t="shared" si="17"/>
        <v>178.4758734696527</v>
      </c>
      <c r="M96" s="128">
        <f t="shared" si="17"/>
        <v>193.38228817773756</v>
      </c>
      <c r="N96" s="128">
        <f t="shared" si="17"/>
        <v>200.13349060354398</v>
      </c>
      <c r="O96" s="128">
        <f t="shared" si="17"/>
        <v>205.67323613898708</v>
      </c>
      <c r="P96" s="128">
        <f t="shared" si="17"/>
        <v>211.35451809960659</v>
      </c>
      <c r="Q96" s="128">
        <f t="shared" si="17"/>
        <v>217.18078204419515</v>
      </c>
      <c r="R96" s="128">
        <f t="shared" si="17"/>
        <v>223.15555473932761</v>
      </c>
      <c r="S96" s="91"/>
    </row>
    <row r="97" spans="2:20">
      <c r="B97" s="89"/>
      <c r="C97" s="74" t="s">
        <v>166</v>
      </c>
      <c r="E97" s="114"/>
      <c r="F97" s="183"/>
      <c r="G97" s="183"/>
      <c r="H97" s="114" t="s">
        <v>157</v>
      </c>
      <c r="I97" s="128">
        <f>-I44</f>
        <v>-43.989897999999997</v>
      </c>
      <c r="J97" s="128">
        <f>-J44</f>
        <v>-43.989897999999997</v>
      </c>
      <c r="K97" s="128">
        <f>-K44</f>
        <v>-43.989897999999997</v>
      </c>
      <c r="L97" s="128">
        <f>-L44</f>
        <v>-43.989897999999997</v>
      </c>
      <c r="M97" s="128">
        <f>-M44</f>
        <v>-43.989897999999997</v>
      </c>
      <c r="N97" s="128">
        <f>-N44</f>
        <v>-43.989897999999997</v>
      </c>
      <c r="O97" s="128">
        <f>-O44</f>
        <v>-43.989897999999997</v>
      </c>
      <c r="P97" s="128">
        <f>-P44</f>
        <v>-43.989897999999997</v>
      </c>
      <c r="Q97" s="128">
        <f>-Q44</f>
        <v>-43.989897999999997</v>
      </c>
      <c r="R97" s="128">
        <f>-R44</f>
        <v>-43.989897999999997</v>
      </c>
      <c r="S97" s="91"/>
    </row>
    <row r="98" spans="2:20">
      <c r="B98" s="89"/>
      <c r="C98" s="74" t="s">
        <v>25</v>
      </c>
      <c r="E98" s="114"/>
      <c r="F98" s="183"/>
      <c r="G98" s="183"/>
      <c r="H98" s="114" t="s">
        <v>157</v>
      </c>
      <c r="I98" s="128">
        <f t="shared" ref="I98:R98" si="18">-I50</f>
        <v>-8.6038750656705236</v>
      </c>
      <c r="J98" s="128">
        <f t="shared" si="18"/>
        <v>-14.202443592443412</v>
      </c>
      <c r="K98" s="128">
        <f t="shared" si="18"/>
        <v>-18.610521662996192</v>
      </c>
      <c r="L98" s="128">
        <f t="shared" si="18"/>
        <v>-21.668634112716649</v>
      </c>
      <c r="M98" s="128">
        <f t="shared" si="18"/>
        <v>-25.05417364265702</v>
      </c>
      <c r="N98" s="128">
        <f t="shared" si="18"/>
        <v>-26.458462224850557</v>
      </c>
      <c r="O98" s="128">
        <f t="shared" si="18"/>
        <v>-27.572001153356904</v>
      </c>
      <c r="P98" s="128">
        <f t="shared" si="18"/>
        <v>-28.695508823905588</v>
      </c>
      <c r="Q98" s="128">
        <f t="shared" si="18"/>
        <v>-29.877812170606841</v>
      </c>
      <c r="R98" s="128">
        <f t="shared" si="18"/>
        <v>-31.071757617438632</v>
      </c>
      <c r="S98" s="91"/>
    </row>
    <row r="99" spans="2:20">
      <c r="B99" s="89"/>
      <c r="C99" s="74" t="s">
        <v>98</v>
      </c>
      <c r="E99" s="114"/>
      <c r="F99" s="183"/>
      <c r="G99" s="183"/>
      <c r="H99" s="114" t="s">
        <v>157</v>
      </c>
      <c r="I99" s="290">
        <f>I81</f>
        <v>-8.3699999999999992</v>
      </c>
      <c r="J99" s="290">
        <f t="shared" ref="J99:R99" si="19">J81</f>
        <v>-6.2774999999999999</v>
      </c>
      <c r="K99" s="290">
        <f t="shared" si="19"/>
        <v>-4.1850000000000005</v>
      </c>
      <c r="L99" s="290">
        <f t="shared" si="19"/>
        <v>-2.0925000000000007</v>
      </c>
      <c r="M99" s="290">
        <f t="shared" si="19"/>
        <v>0</v>
      </c>
      <c r="N99" s="290">
        <f t="shared" si="19"/>
        <v>0</v>
      </c>
      <c r="O99" s="290">
        <f t="shared" si="19"/>
        <v>0</v>
      </c>
      <c r="P99" s="290">
        <f t="shared" si="19"/>
        <v>0</v>
      </c>
      <c r="Q99" s="290">
        <f t="shared" si="19"/>
        <v>0</v>
      </c>
      <c r="R99" s="290">
        <f t="shared" si="19"/>
        <v>0</v>
      </c>
      <c r="S99" s="91"/>
    </row>
    <row r="100" spans="2:20">
      <c r="B100" s="89"/>
      <c r="C100" s="74" t="s">
        <v>24</v>
      </c>
      <c r="E100" s="114"/>
      <c r="F100" s="183"/>
      <c r="G100" s="183"/>
      <c r="H100" s="114" t="s">
        <v>157</v>
      </c>
      <c r="I100" s="128">
        <f>I79</f>
        <v>-32.62092249855408</v>
      </c>
      <c r="J100" s="128">
        <f>J79</f>
        <v>-34.073022556390974</v>
      </c>
      <c r="K100" s="128">
        <f>K79</f>
        <v>-35.246648930017351</v>
      </c>
      <c r="L100" s="128">
        <f>L79</f>
        <v>-36.42027530364372</v>
      </c>
      <c r="M100" s="128">
        <f>M79</f>
        <v>-37.593901677270097</v>
      </c>
      <c r="N100" s="128">
        <f>N79</f>
        <v>-37.344033314054364</v>
      </c>
      <c r="O100" s="128">
        <f>O79</f>
        <v>-38.090913980335451</v>
      </c>
      <c r="P100" s="128">
        <f>P79</f>
        <v>-38.852732259942158</v>
      </c>
      <c r="Q100" s="128">
        <f>Q79</f>
        <v>-39.629786905141003</v>
      </c>
      <c r="R100" s="128">
        <f>R79</f>
        <v>-40.422382643243814</v>
      </c>
      <c r="S100" s="91"/>
    </row>
    <row r="101" spans="2:20">
      <c r="B101" s="89"/>
      <c r="C101" s="8" t="s">
        <v>111</v>
      </c>
      <c r="D101" s="8"/>
      <c r="E101" s="184"/>
      <c r="F101" s="185"/>
      <c r="G101" s="185"/>
      <c r="H101" s="184" t="s">
        <v>157</v>
      </c>
      <c r="I101" s="122">
        <f>SUM(I96:I100)</f>
        <v>27.954681876069252</v>
      </c>
      <c r="J101" s="122">
        <f t="shared" ref="J101:R101" si="20">SUM(J96:J100)</f>
        <v>47.123882153013163</v>
      </c>
      <c r="K101" s="122">
        <f t="shared" si="20"/>
        <v>62.801669669470591</v>
      </c>
      <c r="L101" s="122">
        <f t="shared" si="20"/>
        <v>74.304566053292348</v>
      </c>
      <c r="M101" s="122">
        <f t="shared" si="20"/>
        <v>86.744314857810465</v>
      </c>
      <c r="N101" s="122">
        <f t="shared" si="20"/>
        <v>92.341097064639058</v>
      </c>
      <c r="O101" s="122">
        <f t="shared" si="20"/>
        <v>96.020423005294759</v>
      </c>
      <c r="P101" s="122">
        <f t="shared" si="20"/>
        <v>99.816379015758869</v>
      </c>
      <c r="Q101" s="122">
        <f t="shared" si="20"/>
        <v>103.68328496844734</v>
      </c>
      <c r="R101" s="122">
        <f t="shared" si="20"/>
        <v>107.67151647864517</v>
      </c>
      <c r="S101" s="91"/>
      <c r="T101" s="186"/>
    </row>
    <row r="102" spans="2:20">
      <c r="B102" s="89"/>
      <c r="E102" s="114"/>
      <c r="F102" s="183"/>
      <c r="G102" s="183"/>
      <c r="H102" s="183"/>
      <c r="I102" s="183"/>
      <c r="J102" s="183"/>
      <c r="K102" s="183"/>
      <c r="L102" s="183"/>
      <c r="M102" s="183"/>
      <c r="N102" s="183"/>
      <c r="O102" s="183"/>
      <c r="P102" s="183"/>
      <c r="Q102" s="92"/>
      <c r="R102" s="183"/>
      <c r="S102" s="91"/>
    </row>
    <row r="103" spans="2:20">
      <c r="B103" s="89"/>
      <c r="C103" s="74" t="s">
        <v>118</v>
      </c>
      <c r="E103" s="33">
        <v>0.1</v>
      </c>
      <c r="H103" s="75"/>
      <c r="I103" s="132"/>
      <c r="J103" s="187"/>
      <c r="O103" s="100" t="s">
        <v>180</v>
      </c>
      <c r="Q103" s="132"/>
      <c r="R103" s="133">
        <f>R101*(1+E104)/(E103-E104)</f>
        <v>1372.8118351027258</v>
      </c>
      <c r="S103" s="188"/>
    </row>
    <row r="104" spans="2:20">
      <c r="B104" s="89"/>
      <c r="C104" s="74" t="s">
        <v>119</v>
      </c>
      <c r="E104" s="33">
        <v>0.02</v>
      </c>
      <c r="H104" s="75"/>
      <c r="I104" s="132"/>
      <c r="J104" s="187"/>
      <c r="O104" s="11"/>
      <c r="Q104" s="132"/>
      <c r="R104" s="189"/>
      <c r="S104" s="91"/>
    </row>
    <row r="105" spans="2:20">
      <c r="B105" s="89"/>
      <c r="C105" s="74" t="s">
        <v>181</v>
      </c>
      <c r="E105" s="190">
        <f>D50</f>
        <v>0.24</v>
      </c>
      <c r="I105" s="132"/>
      <c r="J105" s="132"/>
      <c r="K105" s="132"/>
      <c r="L105" s="132"/>
      <c r="M105" s="132"/>
      <c r="N105" s="132"/>
      <c r="O105" s="100" t="s">
        <v>182</v>
      </c>
      <c r="Q105" s="132"/>
      <c r="R105" s="133">
        <f>R103*R107</f>
        <v>529.27839067329649</v>
      </c>
      <c r="S105" s="91"/>
    </row>
    <row r="106" spans="2:20">
      <c r="B106" s="89"/>
      <c r="F106" s="191"/>
      <c r="I106" s="132"/>
      <c r="S106" s="91"/>
    </row>
    <row r="107" spans="2:20">
      <c r="B107" s="89"/>
      <c r="C107" s="74" t="s">
        <v>183</v>
      </c>
      <c r="F107" s="191"/>
      <c r="I107" s="192">
        <f>1/(1+$E$103)^I108</f>
        <v>0.90909090909090906</v>
      </c>
      <c r="J107" s="192">
        <f t="shared" ref="J107:R107" si="21">1/(1+$E$103)^J108</f>
        <v>0.82644628099173545</v>
      </c>
      <c r="K107" s="192">
        <f>1/(1+$E$103)^K108</f>
        <v>0.75131480090157754</v>
      </c>
      <c r="L107" s="192">
        <f t="shared" si="21"/>
        <v>0.68301345536507052</v>
      </c>
      <c r="M107" s="192">
        <f t="shared" si="21"/>
        <v>0.62092132305915493</v>
      </c>
      <c r="N107" s="192">
        <f>1/(1+$E$103)^N108</f>
        <v>0.56447393005377722</v>
      </c>
      <c r="O107" s="192">
        <f t="shared" si="21"/>
        <v>0.51315811823070645</v>
      </c>
      <c r="P107" s="192">
        <f t="shared" si="21"/>
        <v>0.46650738020973315</v>
      </c>
      <c r="Q107" s="192">
        <f t="shared" si="21"/>
        <v>0.42409761837248466</v>
      </c>
      <c r="R107" s="192">
        <f>1/(1+$E$103)^R108</f>
        <v>0.38554328942953148</v>
      </c>
      <c r="S107" s="91"/>
      <c r="T107" s="193"/>
    </row>
    <row r="108" spans="2:20">
      <c r="B108" s="89"/>
      <c r="C108" s="74" t="s">
        <v>184</v>
      </c>
      <c r="I108" s="119">
        <v>1</v>
      </c>
      <c r="J108" s="119">
        <v>2</v>
      </c>
      <c r="K108" s="119">
        <v>3</v>
      </c>
      <c r="L108" s="119">
        <v>4</v>
      </c>
      <c r="M108" s="119">
        <v>5</v>
      </c>
      <c r="N108" s="119">
        <v>6</v>
      </c>
      <c r="O108" s="119">
        <v>7</v>
      </c>
      <c r="P108" s="119">
        <v>8</v>
      </c>
      <c r="Q108" s="119">
        <v>9</v>
      </c>
      <c r="R108" s="119">
        <v>10</v>
      </c>
      <c r="S108" s="91"/>
    </row>
    <row r="109" spans="2:20">
      <c r="B109" s="89"/>
      <c r="C109" s="8" t="s">
        <v>114</v>
      </c>
      <c r="D109" s="8"/>
      <c r="E109" s="8"/>
      <c r="F109" s="194"/>
      <c r="G109" s="194"/>
      <c r="H109" s="194"/>
      <c r="I109" s="122">
        <f t="shared" ref="I109:R109" si="22">I101*I107</f>
        <v>25.413347160062955</v>
      </c>
      <c r="J109" s="122">
        <f t="shared" si="22"/>
        <v>38.945357151250541</v>
      </c>
      <c r="K109" s="122">
        <f t="shared" si="22"/>
        <v>47.183823944004935</v>
      </c>
      <c r="L109" s="122">
        <f t="shared" si="22"/>
        <v>50.751018409461324</v>
      </c>
      <c r="M109" s="122">
        <f t="shared" si="22"/>
        <v>53.861394749371584</v>
      </c>
      <c r="N109" s="122">
        <f t="shared" si="22"/>
        <v>52.124141965554124</v>
      </c>
      <c r="O109" s="122">
        <f t="shared" si="22"/>
        <v>49.273659581113492</v>
      </c>
      <c r="P109" s="122">
        <f t="shared" si="22"/>
        <v>46.565077476663454</v>
      </c>
      <c r="Q109" s="122">
        <f t="shared" si="22"/>
        <v>43.971834220154157</v>
      </c>
      <c r="R109" s="122">
        <f t="shared" si="22"/>
        <v>41.512030641042863</v>
      </c>
      <c r="S109" s="91"/>
    </row>
    <row r="110" spans="2:20">
      <c r="B110" s="89"/>
      <c r="C110" s="11"/>
      <c r="D110" s="11"/>
      <c r="E110" s="11"/>
      <c r="I110" s="124"/>
      <c r="J110" s="124"/>
      <c r="K110" s="124"/>
      <c r="L110" s="124"/>
      <c r="M110" s="124"/>
      <c r="N110" s="124"/>
      <c r="O110" s="124"/>
      <c r="P110" s="124"/>
      <c r="Q110" s="124"/>
      <c r="R110" s="277"/>
      <c r="S110" s="91"/>
    </row>
    <row r="111" spans="2:20">
      <c r="B111" s="89"/>
      <c r="C111" s="11"/>
      <c r="D111" s="11"/>
      <c r="E111" s="11"/>
      <c r="I111" s="124"/>
      <c r="J111" s="124"/>
      <c r="K111" s="124"/>
      <c r="L111" s="124"/>
      <c r="M111" s="124"/>
      <c r="N111" s="124"/>
      <c r="O111" s="124"/>
      <c r="P111" s="124"/>
      <c r="Q111" s="124"/>
      <c r="R111"/>
      <c r="S111" s="91"/>
    </row>
    <row r="112" spans="2:20">
      <c r="B112" s="89"/>
      <c r="C112" s="308" t="s">
        <v>185</v>
      </c>
      <c r="D112" s="308"/>
      <c r="E112" s="309"/>
      <c r="F112" s="103"/>
      <c r="G112"/>
      <c r="H112"/>
      <c r="I112"/>
      <c r="J112" s="195"/>
      <c r="K112" s="195"/>
      <c r="L112" s="195"/>
      <c r="M112" s="195"/>
      <c r="N112" s="195"/>
      <c r="O112" s="195"/>
      <c r="P112" s="195"/>
      <c r="Q112" s="195"/>
      <c r="R112" s="196"/>
      <c r="S112" s="91"/>
    </row>
    <row r="113" spans="2:19">
      <c r="B113" s="89"/>
      <c r="C113" s="74" t="s">
        <v>120</v>
      </c>
      <c r="D113" s="103" t="s">
        <v>157</v>
      </c>
      <c r="E113" s="197">
        <f>SUM(I109:R109,R105)</f>
        <v>978.88007597197588</v>
      </c>
      <c r="F113" s="198"/>
      <c r="G113"/>
      <c r="H113"/>
      <c r="I113"/>
      <c r="J113" s="119"/>
      <c r="S113" s="91"/>
    </row>
    <row r="114" spans="2:19">
      <c r="B114" s="89"/>
      <c r="C114" s="74" t="s">
        <v>121</v>
      </c>
      <c r="D114" s="103" t="s">
        <v>157</v>
      </c>
      <c r="E114" s="28">
        <f>$D$59</f>
        <v>756.1</v>
      </c>
      <c r="F114" s="103"/>
      <c r="G114"/>
      <c r="H114"/>
      <c r="I114"/>
      <c r="S114" s="91"/>
    </row>
    <row r="115" spans="2:19">
      <c r="B115" s="89"/>
      <c r="C115" s="8" t="s">
        <v>123</v>
      </c>
      <c r="D115" s="184" t="s">
        <v>157</v>
      </c>
      <c r="E115" s="199">
        <f>SUM(E113:E114)</f>
        <v>1734.980075971976</v>
      </c>
      <c r="F115" s="103"/>
      <c r="G115"/>
      <c r="H115"/>
      <c r="I115"/>
      <c r="S115" s="23"/>
    </row>
    <row r="116" spans="2:19">
      <c r="B116" s="89"/>
      <c r="C116"/>
      <c r="D116"/>
      <c r="E116"/>
      <c r="F116" s="103"/>
      <c r="G116"/>
      <c r="H116"/>
      <c r="I116"/>
      <c r="S116" s="23"/>
    </row>
    <row r="117" spans="2:19">
      <c r="B117" s="147"/>
      <c r="C117" s="152"/>
      <c r="D117" s="152"/>
      <c r="E117" s="152"/>
      <c r="F117" s="152"/>
      <c r="G117" s="306"/>
      <c r="H117" s="306"/>
      <c r="I117" s="306"/>
      <c r="J117" s="152"/>
      <c r="K117" s="152"/>
      <c r="L117" s="152"/>
      <c r="M117" s="152"/>
      <c r="N117" s="152"/>
      <c r="O117" s="152"/>
      <c r="P117" s="152"/>
      <c r="Q117" s="152"/>
      <c r="R117" s="152"/>
      <c r="S117" s="150"/>
    </row>
    <row r="118" spans="2:19">
      <c r="I118"/>
      <c r="J118"/>
      <c r="K118"/>
      <c r="L118"/>
      <c r="M118"/>
      <c r="N118"/>
      <c r="O118"/>
    </row>
    <row r="119" spans="2:19">
      <c r="I119"/>
      <c r="J119"/>
      <c r="K119"/>
      <c r="L119"/>
      <c r="M119"/>
      <c r="N119"/>
      <c r="O119"/>
    </row>
    <row r="120" spans="2:19">
      <c r="F120" s="201"/>
      <c r="G120" s="201"/>
      <c r="H120" s="201"/>
      <c r="I120" s="201"/>
    </row>
    <row r="121" spans="2:19">
      <c r="D121" s="202"/>
      <c r="E121" s="202"/>
      <c r="F121" s="167"/>
      <c r="G121" s="167"/>
      <c r="H121" s="167"/>
      <c r="I121" s="167"/>
    </row>
    <row r="122" spans="2:19">
      <c r="C122" s="201"/>
    </row>
  </sheetData>
  <mergeCells count="6">
    <mergeCell ref="F12:H12"/>
    <mergeCell ref="N12:R12"/>
    <mergeCell ref="F70:H70"/>
    <mergeCell ref="N70:R70"/>
    <mergeCell ref="F93:H93"/>
    <mergeCell ref="N93:R93"/>
  </mergeCells>
  <hyperlinks>
    <hyperlink ref="T61" r:id="rId1" xr:uid="{FE5498A9-1D99-445A-9CDF-7F7FC187B282}"/>
  </hyperlinks>
  <pageMargins left="0.7" right="0.7" top="0.75" bottom="0.75" header="0.3" footer="0.3"/>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20702-441F-494A-9964-6FA922AEDA0F}">
  <sheetPr>
    <tabColor theme="3"/>
  </sheetPr>
  <dimension ref="B3:H10"/>
  <sheetViews>
    <sheetView showGridLines="0" workbookViewId="0">
      <selection activeCell="H10" sqref="H10"/>
    </sheetView>
  </sheetViews>
  <sheetFormatPr defaultRowHeight="15"/>
  <sheetData>
    <row r="3" spans="2:8" ht="33.75">
      <c r="B3" s="85" t="s">
        <v>203</v>
      </c>
    </row>
    <row r="4" spans="2:8" ht="33.75">
      <c r="B4" s="85" t="s">
        <v>56</v>
      </c>
    </row>
    <row r="10" spans="2:8">
      <c r="H10" s="310"/>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DEBF-DC23-4789-9F9B-7B824CFBBBF1}">
  <sheetPr>
    <tabColor theme="3" tint="0.39997558519241921"/>
  </sheetPr>
  <dimension ref="B2:U67"/>
  <sheetViews>
    <sheetView showGridLines="0" topLeftCell="A4" zoomScale="90" zoomScaleNormal="90" workbookViewId="0"/>
  </sheetViews>
  <sheetFormatPr defaultColWidth="8.7109375" defaultRowHeight="15.75"/>
  <cols>
    <col min="1" max="1" width="8.7109375" style="74"/>
    <col min="2" max="2" width="1.42578125" style="74" customWidth="1"/>
    <col min="3" max="3" width="13.140625" style="74" bestFit="1" customWidth="1"/>
    <col min="4" max="4" width="18.42578125" style="74" customWidth="1"/>
    <col min="5" max="5" width="8.42578125" style="103" customWidth="1"/>
    <col min="6" max="6" width="8.85546875" style="74" customWidth="1"/>
    <col min="7" max="7" width="8.42578125" style="74" customWidth="1"/>
    <col min="8" max="8" width="8.28515625" style="74" customWidth="1"/>
    <col min="9" max="9" width="7.85546875" style="74" customWidth="1"/>
    <col min="10" max="10" width="8.7109375" style="74" customWidth="1"/>
    <col min="11" max="11" width="9" style="74" customWidth="1"/>
    <col min="12" max="12" width="10.28515625" style="74" customWidth="1"/>
    <col min="13" max="13" width="9.7109375" style="74" customWidth="1"/>
    <col min="14" max="14" width="10.28515625" style="74" bestFit="1" customWidth="1"/>
    <col min="15" max="15" width="8.85546875" style="74" bestFit="1" customWidth="1"/>
    <col min="16" max="16" width="1.42578125" style="74" customWidth="1"/>
    <col min="17" max="17" width="12.42578125" style="74" bestFit="1" customWidth="1"/>
    <col min="18" max="18" width="8.140625" style="74" bestFit="1" customWidth="1"/>
    <col min="19" max="19" width="9.42578125" style="74" bestFit="1" customWidth="1"/>
    <col min="20" max="16384" width="8.7109375" style="74"/>
  </cols>
  <sheetData>
    <row r="2" spans="2:16">
      <c r="B2" s="86"/>
      <c r="C2" s="87"/>
      <c r="D2" s="87"/>
      <c r="E2" s="203"/>
      <c r="F2" s="87"/>
      <c r="G2" s="87"/>
      <c r="H2" s="87"/>
      <c r="I2" s="87"/>
      <c r="J2" s="87"/>
      <c r="K2" s="87"/>
      <c r="L2" s="87"/>
      <c r="M2" s="87"/>
      <c r="N2" s="87"/>
      <c r="O2" s="87"/>
      <c r="P2" s="88"/>
    </row>
    <row r="3" spans="2:16">
      <c r="B3" s="89"/>
      <c r="P3" s="91"/>
    </row>
    <row r="4" spans="2:16">
      <c r="B4" s="89"/>
      <c r="P4" s="91"/>
    </row>
    <row r="5" spans="2:16">
      <c r="B5" s="89"/>
      <c r="C5" s="74" t="s">
        <v>57</v>
      </c>
      <c r="E5" s="46" t="s">
        <v>204</v>
      </c>
      <c r="F5" s="47"/>
      <c r="J5" s="74" t="s">
        <v>59</v>
      </c>
      <c r="L5" s="72">
        <v>5</v>
      </c>
      <c r="P5" s="91"/>
    </row>
    <row r="6" spans="2:16">
      <c r="B6" s="89"/>
      <c r="P6" s="91"/>
    </row>
    <row r="7" spans="2:16">
      <c r="B7" s="40" t="s">
        <v>60</v>
      </c>
      <c r="C7" s="29"/>
      <c r="D7" s="29"/>
      <c r="E7" s="51"/>
      <c r="F7" s="29"/>
      <c r="G7" s="29"/>
      <c r="H7" s="29"/>
      <c r="I7" s="29"/>
      <c r="J7" s="29"/>
      <c r="K7" s="29"/>
      <c r="L7" s="29"/>
      <c r="M7" s="29"/>
      <c r="N7" s="29"/>
      <c r="O7" s="29"/>
      <c r="P7" s="91"/>
    </row>
    <row r="8" spans="2:16">
      <c r="B8" s="9"/>
      <c r="C8" s="10"/>
      <c r="D8" s="10"/>
      <c r="E8" s="17"/>
      <c r="F8" s="10"/>
      <c r="G8" s="10"/>
      <c r="H8" s="10"/>
      <c r="I8" s="10"/>
      <c r="J8" s="10"/>
      <c r="K8" s="10"/>
      <c r="L8" s="10"/>
      <c r="M8" s="10"/>
      <c r="N8" s="10"/>
      <c r="P8" s="91"/>
    </row>
    <row r="9" spans="2:16">
      <c r="B9" s="89"/>
      <c r="C9" s="204"/>
      <c r="D9" s="204"/>
      <c r="E9" s="205"/>
      <c r="F9" s="25" t="s">
        <v>61</v>
      </c>
      <c r="G9" s="25"/>
      <c r="H9" s="25"/>
      <c r="I9" s="25"/>
      <c r="J9" s="26"/>
      <c r="K9" s="25" t="s">
        <v>62</v>
      </c>
      <c r="L9" s="25"/>
      <c r="M9" s="25"/>
      <c r="N9" s="25"/>
      <c r="O9" s="25"/>
      <c r="P9" s="91"/>
    </row>
    <row r="10" spans="2:16">
      <c r="B10" s="89"/>
      <c r="C10" s="42" t="s">
        <v>63</v>
      </c>
      <c r="D10" s="39"/>
      <c r="E10" s="50" t="s">
        <v>64</v>
      </c>
      <c r="F10" s="30">
        <v>2019</v>
      </c>
      <c r="G10" s="30">
        <v>2020</v>
      </c>
      <c r="H10" s="30">
        <v>2021</v>
      </c>
      <c r="I10" s="30">
        <v>2022</v>
      </c>
      <c r="J10" s="27">
        <v>2023</v>
      </c>
      <c r="K10" s="30">
        <v>2024</v>
      </c>
      <c r="L10" s="30">
        <v>2025</v>
      </c>
      <c r="M10" s="30">
        <v>2026</v>
      </c>
      <c r="N10" s="30">
        <v>2027</v>
      </c>
      <c r="O10" s="30">
        <v>2028</v>
      </c>
      <c r="P10" s="91"/>
    </row>
    <row r="11" spans="2:16">
      <c r="B11" s="89"/>
      <c r="K11" s="65"/>
      <c r="L11" s="65"/>
      <c r="M11" s="65"/>
      <c r="N11" s="65"/>
      <c r="O11" s="65"/>
      <c r="P11" s="91"/>
    </row>
    <row r="12" spans="2:16">
      <c r="B12" s="89"/>
      <c r="C12" s="11" t="s">
        <v>65</v>
      </c>
      <c r="D12" s="11"/>
      <c r="E12" s="52" t="s">
        <v>66</v>
      </c>
      <c r="F12" s="83">
        <v>219</v>
      </c>
      <c r="G12" s="83">
        <v>234</v>
      </c>
      <c r="H12" s="83">
        <v>251</v>
      </c>
      <c r="I12" s="83">
        <v>270</v>
      </c>
      <c r="J12" s="83">
        <v>291</v>
      </c>
      <c r="K12" s="59">
        <f>J12*(1+K13)</f>
        <v>317.19</v>
      </c>
      <c r="L12" s="59">
        <f t="shared" ref="L12:O12" si="0">K12*(1+L13)</f>
        <v>345.7371</v>
      </c>
      <c r="M12" s="59">
        <f t="shared" si="0"/>
        <v>376.85343900000004</v>
      </c>
      <c r="N12" s="59">
        <f t="shared" si="0"/>
        <v>410.77024851000004</v>
      </c>
      <c r="O12" s="59">
        <f t="shared" si="0"/>
        <v>447.73957087590009</v>
      </c>
      <c r="P12" s="91"/>
    </row>
    <row r="13" spans="2:16">
      <c r="B13" s="89"/>
      <c r="C13" s="12" t="s">
        <v>67</v>
      </c>
      <c r="D13" s="12"/>
      <c r="E13" s="53" t="s">
        <v>68</v>
      </c>
      <c r="F13" s="20"/>
      <c r="G13" s="21">
        <f>G12/F12-1</f>
        <v>6.8493150684931559E-2</v>
      </c>
      <c r="H13" s="21">
        <f t="shared" ref="H13:J13" si="1">H12/G12-1</f>
        <v>7.2649572649572614E-2</v>
      </c>
      <c r="I13" s="21">
        <f t="shared" si="1"/>
        <v>7.5697211155378419E-2</v>
      </c>
      <c r="J13" s="21">
        <f t="shared" si="1"/>
        <v>7.7777777777777724E-2</v>
      </c>
      <c r="K13" s="60">
        <v>0.09</v>
      </c>
      <c r="L13" s="60">
        <v>0.09</v>
      </c>
      <c r="M13" s="60">
        <v>0.09</v>
      </c>
      <c r="N13" s="60">
        <v>0.09</v>
      </c>
      <c r="O13" s="60">
        <v>0.09</v>
      </c>
      <c r="P13" s="91"/>
    </row>
    <row r="14" spans="2:16">
      <c r="B14" s="89"/>
      <c r="C14" s="12"/>
      <c r="D14" s="12"/>
      <c r="E14" s="54"/>
      <c r="F14" s="12"/>
      <c r="G14" s="12"/>
      <c r="H14" s="12"/>
      <c r="I14" s="12"/>
      <c r="J14" s="12"/>
      <c r="K14" s="19"/>
      <c r="L14" s="19"/>
      <c r="M14" s="19"/>
      <c r="N14" s="19"/>
      <c r="O14" s="19"/>
      <c r="P14" s="91"/>
    </row>
    <row r="15" spans="2:16">
      <c r="B15" s="89"/>
      <c r="C15" s="74" t="s">
        <v>69</v>
      </c>
      <c r="E15" s="103" t="s">
        <v>66</v>
      </c>
      <c r="F15" s="75">
        <v>55</v>
      </c>
      <c r="G15" s="75">
        <v>58</v>
      </c>
      <c r="H15" s="75">
        <v>61</v>
      </c>
      <c r="I15" s="75">
        <v>65</v>
      </c>
      <c r="J15" s="75">
        <v>70</v>
      </c>
      <c r="K15" s="66">
        <f>K16*K$12</f>
        <v>76.125599999999991</v>
      </c>
      <c r="L15" s="66">
        <f t="shared" ref="L15:O15" si="2">L16*L$12</f>
        <v>82.97690399999999</v>
      </c>
      <c r="M15" s="66">
        <f t="shared" si="2"/>
        <v>90.44482536000001</v>
      </c>
      <c r="N15" s="66">
        <f t="shared" si="2"/>
        <v>98.584859642400005</v>
      </c>
      <c r="O15" s="66">
        <f t="shared" si="2"/>
        <v>107.45749701021602</v>
      </c>
      <c r="P15" s="91"/>
    </row>
    <row r="16" spans="2:16">
      <c r="B16" s="89"/>
      <c r="C16" s="12" t="s">
        <v>70</v>
      </c>
      <c r="D16" s="12"/>
      <c r="E16" s="54" t="s">
        <v>68</v>
      </c>
      <c r="F16" s="21">
        <f>F15/F12</f>
        <v>0.25114155251141551</v>
      </c>
      <c r="G16" s="21">
        <f>G15/G12</f>
        <v>0.24786324786324787</v>
      </c>
      <c r="H16" s="21">
        <f>H15/H12</f>
        <v>0.24302788844621515</v>
      </c>
      <c r="I16" s="21">
        <f t="shared" ref="I16:J16" si="3">I15/I12</f>
        <v>0.24074074074074073</v>
      </c>
      <c r="J16" s="21">
        <f t="shared" si="3"/>
        <v>0.24054982817869416</v>
      </c>
      <c r="K16" s="60">
        <v>0.24</v>
      </c>
      <c r="L16" s="60">
        <v>0.24</v>
      </c>
      <c r="M16" s="60">
        <v>0.24</v>
      </c>
      <c r="N16" s="60">
        <v>0.24</v>
      </c>
      <c r="O16" s="60">
        <v>0.24</v>
      </c>
      <c r="P16" s="91"/>
    </row>
    <row r="17" spans="2:18">
      <c r="B17" s="89"/>
      <c r="C17" s="12"/>
      <c r="D17" s="12"/>
      <c r="E17" s="54"/>
      <c r="F17" s="20"/>
      <c r="G17" s="21"/>
      <c r="H17" s="21"/>
      <c r="I17" s="21"/>
      <c r="J17" s="21"/>
      <c r="K17" s="206"/>
      <c r="L17" s="206"/>
      <c r="M17" s="206"/>
      <c r="N17" s="206"/>
      <c r="O17" s="206"/>
      <c r="P17" s="91"/>
    </row>
    <row r="18" spans="2:18">
      <c r="B18" s="89"/>
      <c r="C18" s="207" t="s">
        <v>205</v>
      </c>
      <c r="D18" s="12"/>
      <c r="E18" s="103" t="s">
        <v>66</v>
      </c>
      <c r="F18" s="75">
        <v>124</v>
      </c>
      <c r="G18" s="75">
        <v>133</v>
      </c>
      <c r="H18" s="75">
        <v>142</v>
      </c>
      <c r="I18" s="75">
        <v>152</v>
      </c>
      <c r="J18" s="208">
        <v>175</v>
      </c>
      <c r="K18" s="66">
        <f>K19*K$12</f>
        <v>171.2826</v>
      </c>
      <c r="L18" s="66">
        <f t="shared" ref="L18:O18" si="4">L19*L$12</f>
        <v>186.69803400000001</v>
      </c>
      <c r="M18" s="66">
        <f t="shared" si="4"/>
        <v>203.50085706000004</v>
      </c>
      <c r="N18" s="66">
        <f t="shared" si="4"/>
        <v>221.81593419540005</v>
      </c>
      <c r="O18" s="66">
        <f t="shared" si="4"/>
        <v>241.77936827298606</v>
      </c>
      <c r="P18" s="91"/>
    </row>
    <row r="19" spans="2:18">
      <c r="B19" s="89"/>
      <c r="C19" s="12" t="s">
        <v>70</v>
      </c>
      <c r="E19" s="54" t="s">
        <v>68</v>
      </c>
      <c r="F19" s="21">
        <f>F18/F12</f>
        <v>0.56621004566210043</v>
      </c>
      <c r="G19" s="21">
        <f t="shared" ref="G19:J19" si="5">G18/G12</f>
        <v>0.56837606837606836</v>
      </c>
      <c r="H19" s="21">
        <f t="shared" si="5"/>
        <v>0.56573705179282874</v>
      </c>
      <c r="I19" s="21">
        <f t="shared" si="5"/>
        <v>0.562962962962963</v>
      </c>
      <c r="J19" s="21">
        <f>J18/J12</f>
        <v>0.60137457044673537</v>
      </c>
      <c r="K19" s="60">
        <v>0.54</v>
      </c>
      <c r="L19" s="60">
        <v>0.54</v>
      </c>
      <c r="M19" s="60">
        <v>0.54</v>
      </c>
      <c r="N19" s="60">
        <v>0.54</v>
      </c>
      <c r="O19" s="60">
        <v>0.54</v>
      </c>
      <c r="P19" s="91"/>
      <c r="R19" s="74">
        <f>175-34</f>
        <v>141</v>
      </c>
    </row>
    <row r="20" spans="2:18">
      <c r="B20" s="89"/>
      <c r="C20" s="12"/>
      <c r="K20" s="18"/>
      <c r="L20" s="18"/>
      <c r="M20" s="18"/>
      <c r="N20" s="18"/>
      <c r="O20" s="18"/>
      <c r="P20" s="91"/>
    </row>
    <row r="21" spans="2:18">
      <c r="B21" s="89"/>
      <c r="C21" s="57" t="s">
        <v>73</v>
      </c>
      <c r="D21" s="209"/>
      <c r="E21" s="210" t="s">
        <v>66</v>
      </c>
      <c r="F21" s="58">
        <f>F12-F15-F18</f>
        <v>40</v>
      </c>
      <c r="G21" s="58">
        <f t="shared" ref="G21:O21" si="6">G12-G15-G18</f>
        <v>43</v>
      </c>
      <c r="H21" s="58">
        <f t="shared" si="6"/>
        <v>48</v>
      </c>
      <c r="I21" s="58">
        <f t="shared" si="6"/>
        <v>53</v>
      </c>
      <c r="J21" s="58">
        <f>J12-J15-J18</f>
        <v>46</v>
      </c>
      <c r="K21" s="58">
        <f t="shared" si="6"/>
        <v>69.781800000000004</v>
      </c>
      <c r="L21" s="58">
        <f t="shared" si="6"/>
        <v>76.062162000000001</v>
      </c>
      <c r="M21" s="58">
        <f t="shared" si="6"/>
        <v>82.907756579999955</v>
      </c>
      <c r="N21" s="58">
        <f t="shared" si="6"/>
        <v>90.369454672200021</v>
      </c>
      <c r="O21" s="58">
        <f t="shared" si="6"/>
        <v>98.502705592698021</v>
      </c>
      <c r="P21" s="91"/>
    </row>
    <row r="22" spans="2:18">
      <c r="B22" s="89"/>
      <c r="C22" s="12" t="s">
        <v>70</v>
      </c>
      <c r="D22" s="12"/>
      <c r="E22" s="54" t="s">
        <v>68</v>
      </c>
      <c r="F22" s="21">
        <f t="shared" ref="F22:O22" si="7">F21/F12</f>
        <v>0.18264840182648401</v>
      </c>
      <c r="G22" s="21">
        <f t="shared" si="7"/>
        <v>0.18376068376068377</v>
      </c>
      <c r="H22" s="21">
        <f t="shared" si="7"/>
        <v>0.19123505976095617</v>
      </c>
      <c r="I22" s="21">
        <f t="shared" si="7"/>
        <v>0.1962962962962963</v>
      </c>
      <c r="J22" s="21">
        <f t="shared" si="7"/>
        <v>0.15807560137457044</v>
      </c>
      <c r="K22" s="21">
        <f t="shared" si="7"/>
        <v>0.22</v>
      </c>
      <c r="L22" s="21">
        <f t="shared" si="7"/>
        <v>0.22</v>
      </c>
      <c r="M22" s="21">
        <f t="shared" si="7"/>
        <v>0.21999999999999986</v>
      </c>
      <c r="N22" s="21">
        <f t="shared" si="7"/>
        <v>0.22000000000000003</v>
      </c>
      <c r="O22" s="21">
        <f t="shared" si="7"/>
        <v>0.22</v>
      </c>
      <c r="P22" s="91"/>
    </row>
    <row r="23" spans="2:18">
      <c r="B23" s="89"/>
      <c r="P23" s="91"/>
    </row>
    <row r="24" spans="2:18">
      <c r="B24" s="89"/>
      <c r="C24" s="207" t="s">
        <v>206</v>
      </c>
      <c r="E24" s="103" t="s">
        <v>66</v>
      </c>
      <c r="F24" s="75">
        <v>11</v>
      </c>
      <c r="G24" s="75">
        <v>11</v>
      </c>
      <c r="H24" s="75">
        <v>13</v>
      </c>
      <c r="I24" s="75">
        <v>13</v>
      </c>
      <c r="J24" s="75">
        <v>14</v>
      </c>
      <c r="K24" s="66">
        <f>K25*K$12</f>
        <v>15.467729866857358</v>
      </c>
      <c r="L24" s="66">
        <f t="shared" ref="L24:O24" si="8">L25*L$12</f>
        <v>17.01163226410597</v>
      </c>
      <c r="M24" s="66">
        <f t="shared" si="8"/>
        <v>18.298772558449965</v>
      </c>
      <c r="N24" s="66">
        <f t="shared" si="8"/>
        <v>19.987620915860298</v>
      </c>
      <c r="O24" s="66">
        <f t="shared" si="8"/>
        <v>21.847949655709659</v>
      </c>
      <c r="P24" s="91"/>
    </row>
    <row r="25" spans="2:18">
      <c r="B25" s="89"/>
      <c r="C25" s="12" t="s">
        <v>72</v>
      </c>
      <c r="D25" s="12"/>
      <c r="E25" s="54" t="s">
        <v>68</v>
      </c>
      <c r="F25" s="20"/>
      <c r="G25" s="21">
        <f>G24/G12</f>
        <v>4.7008547008547008E-2</v>
      </c>
      <c r="H25" s="21">
        <f>H24/H12</f>
        <v>5.1792828685258967E-2</v>
      </c>
      <c r="I25" s="21">
        <f>I24/I12</f>
        <v>4.8148148148148148E-2</v>
      </c>
      <c r="J25" s="21">
        <f>J24/J12</f>
        <v>4.8109965635738834E-2</v>
      </c>
      <c r="K25" s="60">
        <f>AVERAGE(G25:J25)</f>
        <v>4.8764872369423243E-2</v>
      </c>
      <c r="L25" s="60">
        <f>AVERAGE(H25:K25)</f>
        <v>4.9203953709642298E-2</v>
      </c>
      <c r="M25" s="60">
        <f>AVERAGE(I25:L25)</f>
        <v>4.8556734965738133E-2</v>
      </c>
      <c r="N25" s="60">
        <f>AVERAGE(J25:M25)</f>
        <v>4.8658881670135629E-2</v>
      </c>
      <c r="O25" s="60">
        <f>AVERAGE(K25:N25)</f>
        <v>4.8796110678734829E-2</v>
      </c>
      <c r="P25" s="91"/>
    </row>
    <row r="26" spans="2:18">
      <c r="B26" s="89"/>
      <c r="K26" s="18"/>
      <c r="L26" s="18"/>
      <c r="M26" s="18"/>
      <c r="N26" s="18"/>
      <c r="O26" s="18"/>
      <c r="P26" s="91"/>
    </row>
    <row r="27" spans="2:18">
      <c r="B27" s="89"/>
      <c r="C27" s="74" t="s">
        <v>74</v>
      </c>
      <c r="E27" s="103" t="s">
        <v>66</v>
      </c>
      <c r="F27" s="75">
        <v>6</v>
      </c>
      <c r="G27" s="75">
        <v>7</v>
      </c>
      <c r="H27" s="75">
        <v>8</v>
      </c>
      <c r="I27" s="75">
        <v>10</v>
      </c>
      <c r="J27" s="75">
        <v>11</v>
      </c>
      <c r="K27" s="66">
        <f>K28*K$12</f>
        <v>10.834002238907617</v>
      </c>
      <c r="L27" s="66">
        <f t="shared" ref="L27:O27" si="9">L28*L$12</f>
        <v>11.809062440409303</v>
      </c>
      <c r="M27" s="66">
        <f t="shared" si="9"/>
        <v>12.871878060046143</v>
      </c>
      <c r="N27" s="66">
        <f t="shared" si="9"/>
        <v>14.030347085450295</v>
      </c>
      <c r="O27" s="66">
        <f t="shared" si="9"/>
        <v>15.293078323140822</v>
      </c>
      <c r="P27" s="91"/>
    </row>
    <row r="28" spans="2:18">
      <c r="B28" s="89"/>
      <c r="C28" s="12" t="s">
        <v>72</v>
      </c>
      <c r="D28" s="12"/>
      <c r="E28" s="54" t="s">
        <v>68</v>
      </c>
      <c r="F28" s="20"/>
      <c r="G28" s="21">
        <f>G27/G12</f>
        <v>2.9914529914529916E-2</v>
      </c>
      <c r="H28" s="21">
        <f>H27/H12</f>
        <v>3.1872509960159362E-2</v>
      </c>
      <c r="I28" s="21">
        <f>I27/I12</f>
        <v>3.7037037037037035E-2</v>
      </c>
      <c r="J28" s="21">
        <f>J27/J12</f>
        <v>3.7800687285223365E-2</v>
      </c>
      <c r="K28" s="60">
        <f>AVERAGE(G28:J28)</f>
        <v>3.4156191049237422E-2</v>
      </c>
      <c r="L28" s="60">
        <v>3.4156191049237422E-2</v>
      </c>
      <c r="M28" s="60">
        <v>3.4156191049237422E-2</v>
      </c>
      <c r="N28" s="60">
        <v>3.4156191049237422E-2</v>
      </c>
      <c r="O28" s="60">
        <v>3.4156191049237422E-2</v>
      </c>
      <c r="P28" s="91"/>
    </row>
    <row r="29" spans="2:18">
      <c r="B29" s="89"/>
      <c r="E29" s="211"/>
      <c r="P29" s="91"/>
    </row>
    <row r="30" spans="2:18">
      <c r="B30" s="89"/>
      <c r="C30" s="57" t="s">
        <v>22</v>
      </c>
      <c r="D30" s="57"/>
      <c r="E30" s="210" t="s">
        <v>66</v>
      </c>
      <c r="F30" s="57">
        <f>F21-F24-F27</f>
        <v>23</v>
      </c>
      <c r="G30" s="58">
        <f t="shared" ref="G30:O30" si="10">G21-G24-G27</f>
        <v>25</v>
      </c>
      <c r="H30" s="58">
        <f t="shared" si="10"/>
        <v>27</v>
      </c>
      <c r="I30" s="58">
        <f t="shared" si="10"/>
        <v>30</v>
      </c>
      <c r="J30" s="57">
        <f t="shared" si="10"/>
        <v>21</v>
      </c>
      <c r="K30" s="58">
        <f t="shared" si="10"/>
        <v>43.480067894235034</v>
      </c>
      <c r="L30" s="58">
        <f t="shared" si="10"/>
        <v>47.241467295484725</v>
      </c>
      <c r="M30" s="58">
        <f t="shared" si="10"/>
        <v>51.737105961503843</v>
      </c>
      <c r="N30" s="58">
        <f t="shared" si="10"/>
        <v>56.351486670889422</v>
      </c>
      <c r="O30" s="58">
        <f t="shared" si="10"/>
        <v>61.361677613847547</v>
      </c>
      <c r="P30" s="91"/>
    </row>
    <row r="31" spans="2:18">
      <c r="B31" s="89"/>
      <c r="C31" s="12" t="s">
        <v>78</v>
      </c>
      <c r="D31"/>
      <c r="E31" s="54" t="s">
        <v>68</v>
      </c>
      <c r="F31" s="22">
        <f t="shared" ref="F31:O31" si="11">F30/F12</f>
        <v>0.1050228310502283</v>
      </c>
      <c r="G31" s="22">
        <f t="shared" si="11"/>
        <v>0.10683760683760683</v>
      </c>
      <c r="H31" s="22">
        <f t="shared" si="11"/>
        <v>0.10756972111553785</v>
      </c>
      <c r="I31" s="22">
        <f t="shared" si="11"/>
        <v>0.1111111111111111</v>
      </c>
      <c r="J31" s="22">
        <f t="shared" si="11"/>
        <v>7.2164948453608241E-2</v>
      </c>
      <c r="K31" s="22">
        <f t="shared" si="11"/>
        <v>0.13707893658133938</v>
      </c>
      <c r="L31" s="22">
        <f t="shared" si="11"/>
        <v>0.13663985524112027</v>
      </c>
      <c r="M31" s="22">
        <f t="shared" si="11"/>
        <v>0.13728707398502429</v>
      </c>
      <c r="N31" s="22">
        <f t="shared" si="11"/>
        <v>0.13718492728062695</v>
      </c>
      <c r="O31" s="22">
        <f t="shared" si="11"/>
        <v>0.13704769827202776</v>
      </c>
      <c r="P31" s="91"/>
    </row>
    <row r="32" spans="2:18">
      <c r="B32" s="89"/>
      <c r="C32" s="12"/>
      <c r="D32"/>
      <c r="E32" s="55"/>
      <c r="F32" s="22"/>
      <c r="G32" s="22"/>
      <c r="H32" s="22"/>
      <c r="I32" s="22"/>
      <c r="J32" s="22"/>
      <c r="K32" s="22"/>
      <c r="L32" s="22"/>
      <c r="M32" s="22"/>
      <c r="N32" s="22"/>
      <c r="O32" s="22"/>
      <c r="P32" s="91"/>
    </row>
    <row r="33" spans="2:21">
      <c r="B33" s="89"/>
      <c r="C33" s="74" t="s">
        <v>79</v>
      </c>
      <c r="E33" s="103" t="s">
        <v>66</v>
      </c>
      <c r="F33" s="212"/>
      <c r="G33" s="212"/>
      <c r="H33" s="212"/>
      <c r="I33" s="212"/>
      <c r="J33" s="212"/>
      <c r="K33" s="28">
        <f>2%*K12</f>
        <v>6.3437999999999999</v>
      </c>
      <c r="L33" s="28">
        <f>2%*L12</f>
        <v>6.9147420000000004</v>
      </c>
      <c r="M33" s="28">
        <f>2%*M12</f>
        <v>7.5370687800000011</v>
      </c>
      <c r="N33" s="28">
        <f>2%*N12</f>
        <v>8.2154049702000016</v>
      </c>
      <c r="O33" s="28">
        <f>2%*O12</f>
        <v>8.9547914175180026</v>
      </c>
      <c r="P33" s="91"/>
      <c r="Q33" s="74" t="s">
        <v>207</v>
      </c>
    </row>
    <row r="34" spans="2:21">
      <c r="B34" s="89"/>
      <c r="E34" s="211"/>
      <c r="K34" s="48"/>
      <c r="L34" s="49"/>
      <c r="M34" s="49"/>
      <c r="N34" s="49"/>
      <c r="O34" s="49"/>
      <c r="P34" s="91"/>
    </row>
    <row r="35" spans="2:21">
      <c r="B35" s="89"/>
      <c r="C35" s="57" t="s">
        <v>80</v>
      </c>
      <c r="D35" s="57"/>
      <c r="E35" s="210" t="s">
        <v>66</v>
      </c>
      <c r="F35" s="58">
        <f>F30-F33</f>
        <v>23</v>
      </c>
      <c r="G35" s="58">
        <f t="shared" ref="G35:J35" si="12">G30-G33</f>
        <v>25</v>
      </c>
      <c r="H35" s="58">
        <f t="shared" si="12"/>
        <v>27</v>
      </c>
      <c r="I35" s="58">
        <f t="shared" si="12"/>
        <v>30</v>
      </c>
      <c r="J35" s="58">
        <f t="shared" si="12"/>
        <v>21</v>
      </c>
      <c r="K35" s="58">
        <f>K30-K33</f>
        <v>37.136267894235033</v>
      </c>
      <c r="L35" s="58">
        <f>L30-L33</f>
        <v>40.326725295484721</v>
      </c>
      <c r="M35" s="58">
        <f>M30-M33</f>
        <v>44.200037181503845</v>
      </c>
      <c r="N35" s="58">
        <f>N30-N33</f>
        <v>48.136081700689417</v>
      </c>
      <c r="O35" s="58">
        <f>O30-O33</f>
        <v>52.406886196329545</v>
      </c>
      <c r="P35" s="91"/>
    </row>
    <row r="36" spans="2:21">
      <c r="B36" s="89"/>
      <c r="C36" s="12" t="s">
        <v>81</v>
      </c>
      <c r="D36"/>
      <c r="E36" s="54" t="s">
        <v>68</v>
      </c>
      <c r="F36" s="22">
        <f t="shared" ref="F36:J36" si="13">F35/F12</f>
        <v>0.1050228310502283</v>
      </c>
      <c r="G36" s="22">
        <f t="shared" si="13"/>
        <v>0.10683760683760683</v>
      </c>
      <c r="H36" s="22">
        <f t="shared" si="13"/>
        <v>0.10756972111553785</v>
      </c>
      <c r="I36" s="22">
        <f t="shared" si="13"/>
        <v>0.1111111111111111</v>
      </c>
      <c r="J36" s="22">
        <f t="shared" si="13"/>
        <v>7.2164948453608241E-2</v>
      </c>
      <c r="K36" s="22">
        <f>K35/K12</f>
        <v>0.11707893658133936</v>
      </c>
      <c r="L36" s="22">
        <f>L35/L12</f>
        <v>0.11663985524112026</v>
      </c>
      <c r="M36" s="22">
        <f>M35/M12</f>
        <v>0.11728707398502429</v>
      </c>
      <c r="N36" s="22">
        <f>N35/N12</f>
        <v>0.11718492728062695</v>
      </c>
      <c r="O36" s="22">
        <f>O35/O12</f>
        <v>0.11704769827202777</v>
      </c>
      <c r="P36" s="91"/>
    </row>
    <row r="37" spans="2:21">
      <c r="B37" s="89"/>
      <c r="K37" s="48"/>
      <c r="L37" s="49"/>
      <c r="M37" s="49"/>
      <c r="N37" s="49"/>
      <c r="O37" s="49"/>
      <c r="P37" s="91"/>
    </row>
    <row r="38" spans="2:21">
      <c r="B38" s="89"/>
      <c r="C38" s="74" t="s">
        <v>82</v>
      </c>
      <c r="E38" s="103" t="s">
        <v>66</v>
      </c>
      <c r="K38" s="75">
        <f>$E$53*$E$52</f>
        <v>7.3125</v>
      </c>
      <c r="L38" s="75">
        <f>$E$53*$E$52</f>
        <v>7.3125</v>
      </c>
      <c r="M38" s="75">
        <f>$E$53*$E$52</f>
        <v>7.3125</v>
      </c>
      <c r="N38" s="75">
        <f>$E$53*$E$52</f>
        <v>7.3125</v>
      </c>
      <c r="O38" s="75">
        <f>$E$53*$E$52</f>
        <v>7.3125</v>
      </c>
      <c r="P38" s="91"/>
    </row>
    <row r="39" spans="2:21">
      <c r="B39" s="89"/>
      <c r="K39" s="75"/>
      <c r="L39" s="75"/>
      <c r="M39" s="75"/>
      <c r="N39" s="75"/>
      <c r="O39" s="75"/>
      <c r="P39" s="91"/>
    </row>
    <row r="40" spans="2:21">
      <c r="B40" s="89"/>
      <c r="C40" s="57" t="s">
        <v>83</v>
      </c>
      <c r="D40" s="57"/>
      <c r="E40" s="210" t="s">
        <v>66</v>
      </c>
      <c r="F40" s="58"/>
      <c r="G40" s="58"/>
      <c r="H40" s="58"/>
      <c r="I40" s="58"/>
      <c r="J40" s="58"/>
      <c r="K40" s="58">
        <f t="shared" ref="K40:O40" si="14">K35-K38</f>
        <v>29.823767894235033</v>
      </c>
      <c r="L40" s="58">
        <f t="shared" si="14"/>
        <v>33.014225295484721</v>
      </c>
      <c r="M40" s="58">
        <f t="shared" si="14"/>
        <v>36.887537181503845</v>
      </c>
      <c r="N40" s="58">
        <f t="shared" si="14"/>
        <v>40.823581700689417</v>
      </c>
      <c r="O40" s="58">
        <f t="shared" si="14"/>
        <v>45.094386196329545</v>
      </c>
      <c r="P40" s="91"/>
    </row>
    <row r="41" spans="2:21">
      <c r="B41" s="89"/>
      <c r="P41" s="91"/>
    </row>
    <row r="42" spans="2:21">
      <c r="B42" s="89"/>
      <c r="D42" s="62" t="s">
        <v>208</v>
      </c>
      <c r="P42" s="91"/>
    </row>
    <row r="43" spans="2:21">
      <c r="B43" s="89"/>
      <c r="C43" s="102" t="s">
        <v>85</v>
      </c>
      <c r="D43" s="33">
        <v>0.22</v>
      </c>
      <c r="E43" s="103" t="s">
        <v>66</v>
      </c>
      <c r="F43" s="75"/>
      <c r="G43" s="75"/>
      <c r="H43" s="75"/>
      <c r="I43" s="75"/>
      <c r="J43" s="75"/>
      <c r="K43" s="75">
        <f>K40*$D43</f>
        <v>6.5612289367317072</v>
      </c>
      <c r="L43" s="75">
        <f t="shared" ref="L43:O43" si="15">L40*$D43</f>
        <v>7.263129565006639</v>
      </c>
      <c r="M43" s="75">
        <f>M40*$D43</f>
        <v>8.1152581799308461</v>
      </c>
      <c r="N43" s="75">
        <f t="shared" si="15"/>
        <v>8.9811879741516716</v>
      </c>
      <c r="O43" s="75">
        <f t="shared" si="15"/>
        <v>9.9207649631925001</v>
      </c>
      <c r="P43" s="91"/>
    </row>
    <row r="44" spans="2:21">
      <c r="B44" s="89"/>
      <c r="E44" s="211"/>
      <c r="P44" s="91"/>
      <c r="U44" s="74" t="s">
        <v>86</v>
      </c>
    </row>
    <row r="45" spans="2:21">
      <c r="B45" s="89"/>
      <c r="C45" s="8" t="s">
        <v>87</v>
      </c>
      <c r="D45" s="194"/>
      <c r="E45" s="213" t="s">
        <v>66</v>
      </c>
      <c r="F45" s="14"/>
      <c r="G45" s="14"/>
      <c r="H45" s="14"/>
      <c r="I45" s="14"/>
      <c r="J45" s="14"/>
      <c r="K45" s="14">
        <f>K40-K43</f>
        <v>23.262538957503324</v>
      </c>
      <c r="L45" s="14">
        <f t="shared" ref="L45:O45" si="16">L40-L43</f>
        <v>25.751095730478081</v>
      </c>
      <c r="M45" s="14">
        <f t="shared" si="16"/>
        <v>28.772279001572997</v>
      </c>
      <c r="N45" s="14">
        <f t="shared" si="16"/>
        <v>31.842393726537743</v>
      </c>
      <c r="O45" s="14">
        <f t="shared" si="16"/>
        <v>35.173621233137041</v>
      </c>
      <c r="P45" s="91"/>
    </row>
    <row r="46" spans="2:21">
      <c r="B46" s="89"/>
      <c r="C46" s="12" t="s">
        <v>88</v>
      </c>
      <c r="D46"/>
      <c r="E46" s="54" t="s">
        <v>68</v>
      </c>
      <c r="F46" s="22"/>
      <c r="G46" s="22"/>
      <c r="H46" s="22"/>
      <c r="I46" s="22"/>
      <c r="J46" s="22"/>
      <c r="K46" s="22">
        <f>K45/K12</f>
        <v>7.3339446254621285E-2</v>
      </c>
      <c r="L46" s="22">
        <f>L45/L12</f>
        <v>7.4481725364382592E-2</v>
      </c>
      <c r="M46" s="22">
        <f>M45/M12</f>
        <v>7.6348723466400412E-2</v>
      </c>
      <c r="N46" s="22">
        <f>N45/N12</f>
        <v>7.7518743974376594E-2</v>
      </c>
      <c r="O46" s="22">
        <f>O45/O12</f>
        <v>7.8558214464555576E-2</v>
      </c>
      <c r="P46" s="91"/>
    </row>
    <row r="47" spans="2:21">
      <c r="B47" s="147"/>
      <c r="C47" s="152"/>
      <c r="D47" s="152"/>
      <c r="E47" s="161"/>
      <c r="F47" s="152"/>
      <c r="G47" s="152"/>
      <c r="H47" s="152"/>
      <c r="I47" s="152"/>
      <c r="J47" s="152"/>
      <c r="K47" s="152"/>
      <c r="L47" s="152"/>
      <c r="M47" s="152"/>
      <c r="N47" s="152"/>
      <c r="O47" s="152"/>
      <c r="P47" s="150"/>
    </row>
    <row r="50" spans="2:16">
      <c r="B50" s="43" t="s">
        <v>89</v>
      </c>
      <c r="C50" s="44"/>
      <c r="D50" s="44"/>
      <c r="E50" s="56"/>
      <c r="F50" s="44"/>
      <c r="G50" s="45"/>
      <c r="I50" s="10"/>
      <c r="J50" s="10"/>
      <c r="K50" s="11"/>
      <c r="L50" s="11" t="s">
        <v>90</v>
      </c>
      <c r="M50" s="11">
        <f>5*J30</f>
        <v>105</v>
      </c>
      <c r="N50" s="11" t="s">
        <v>209</v>
      </c>
      <c r="O50" s="11"/>
      <c r="P50" s="11"/>
    </row>
    <row r="51" spans="2:16">
      <c r="B51" s="24"/>
      <c r="C51" s="10"/>
      <c r="D51" s="10"/>
      <c r="E51" s="17"/>
      <c r="F51" s="214"/>
      <c r="G51" s="215"/>
      <c r="I51" s="10"/>
      <c r="K51" s="10"/>
      <c r="L51" s="10"/>
      <c r="M51" s="10"/>
    </row>
    <row r="52" spans="2:16">
      <c r="B52" s="89"/>
      <c r="C52" s="68" t="s">
        <v>91</v>
      </c>
      <c r="D52" s="68"/>
      <c r="E52" s="73">
        <v>195</v>
      </c>
      <c r="G52" s="91"/>
      <c r="J52" s="329"/>
      <c r="K52" s="329"/>
      <c r="L52" s="329"/>
      <c r="M52" s="329"/>
      <c r="N52" s="165">
        <f>AVERAGE(F30:J30)</f>
        <v>25.2</v>
      </c>
    </row>
    <row r="53" spans="2:16">
      <c r="B53" s="61"/>
      <c r="C53" s="68" t="s">
        <v>92</v>
      </c>
      <c r="D53" s="68"/>
      <c r="E53" s="33">
        <v>3.7499999999999999E-2</v>
      </c>
      <c r="G53" s="91"/>
      <c r="J53" s="329"/>
      <c r="K53" s="329"/>
      <c r="L53" s="329"/>
      <c r="M53" s="329"/>
      <c r="N53" s="216">
        <f>N52*5</f>
        <v>126</v>
      </c>
    </row>
    <row r="54" spans="2:16">
      <c r="B54" s="61"/>
      <c r="C54" s="68" t="s">
        <v>93</v>
      </c>
      <c r="D54" s="68"/>
      <c r="E54" s="217">
        <v>2.2179999999999998E-2</v>
      </c>
      <c r="G54" s="91"/>
      <c r="J54" s="68"/>
      <c r="K54" s="68"/>
      <c r="L54" s="68"/>
      <c r="M54" s="68"/>
      <c r="N54" s="166"/>
    </row>
    <row r="55" spans="2:16">
      <c r="B55" s="147"/>
      <c r="C55" s="69"/>
      <c r="D55" s="69"/>
      <c r="E55" s="70"/>
      <c r="F55" s="152"/>
      <c r="G55" s="150"/>
    </row>
    <row r="56" spans="2:16">
      <c r="F56" s="17"/>
      <c r="G56" s="17"/>
      <c r="H56" s="17"/>
    </row>
    <row r="57" spans="2:16">
      <c r="E57" s="74"/>
    </row>
    <row r="58" spans="2:16">
      <c r="E58" s="74"/>
    </row>
    <row r="59" spans="2:16">
      <c r="E59" s="74"/>
    </row>
    <row r="60" spans="2:16">
      <c r="E60" s="74"/>
    </row>
    <row r="61" spans="2:16">
      <c r="E61" s="74"/>
    </row>
    <row r="62" spans="2:16">
      <c r="E62" s="74"/>
    </row>
    <row r="63" spans="2:16">
      <c r="F63" s="218"/>
      <c r="G63" s="218"/>
      <c r="H63" s="218"/>
    </row>
    <row r="64" spans="2:16">
      <c r="F64" s="218"/>
      <c r="G64" s="218"/>
      <c r="H64" s="218"/>
      <c r="K64" s="200"/>
      <c r="L64" s="219"/>
    </row>
    <row r="65" spans="6:12">
      <c r="F65" s="218"/>
      <c r="G65" s="218"/>
      <c r="H65" s="218"/>
      <c r="I65" s="218"/>
      <c r="K65" s="201"/>
      <c r="L65" s="219"/>
    </row>
    <row r="66" spans="6:12">
      <c r="I66" s="219"/>
      <c r="L66" s="193"/>
    </row>
    <row r="67" spans="6:12">
      <c r="L67" s="193"/>
    </row>
  </sheetData>
  <mergeCells count="2">
    <mergeCell ref="J52:M52"/>
    <mergeCell ref="J53:M53"/>
  </mergeCells>
  <pageMargins left="0.7" right="0.7" top="0.75" bottom="0.75" header="0.3" footer="0.3"/>
  <pageSetup paperSize="9" orientation="portrait" horizontalDpi="300"/>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E222A-5C6C-49AD-AC86-E6CC222D8E05}">
  <sheetPr>
    <tabColor theme="3" tint="0.59999389629810485"/>
  </sheetPr>
  <dimension ref="B2:N25"/>
  <sheetViews>
    <sheetView showGridLines="0" topLeftCell="A2" workbookViewId="0">
      <selection activeCell="D25" sqref="D25:I25"/>
    </sheetView>
  </sheetViews>
  <sheetFormatPr defaultColWidth="8.7109375" defaultRowHeight="15.75"/>
  <cols>
    <col min="1" max="1" width="8.7109375" style="74"/>
    <col min="2" max="2" width="1.42578125" style="74" customWidth="1"/>
    <col min="3" max="3" width="31" style="74" customWidth="1"/>
    <col min="4" max="4" width="8.7109375" style="74" customWidth="1"/>
    <col min="5" max="13" width="9.140625" style="74"/>
    <col min="14" max="14" width="1.28515625" style="74" customWidth="1"/>
    <col min="15" max="16384" width="8.7109375" style="74"/>
  </cols>
  <sheetData>
    <row r="2" spans="2:14">
      <c r="B2" s="86"/>
      <c r="C2" s="87"/>
      <c r="D2" s="87"/>
      <c r="E2" s="87"/>
      <c r="F2" s="87"/>
      <c r="G2" s="87"/>
      <c r="H2" s="87"/>
      <c r="I2" s="87"/>
      <c r="J2" s="87"/>
      <c r="K2" s="87"/>
      <c r="L2" s="87"/>
      <c r="M2" s="87"/>
      <c r="N2" s="88"/>
    </row>
    <row r="3" spans="2:14">
      <c r="B3" s="40" t="s">
        <v>94</v>
      </c>
      <c r="C3" s="29"/>
      <c r="D3" s="29"/>
      <c r="E3" s="29"/>
      <c r="F3" s="29"/>
      <c r="G3" s="29"/>
      <c r="H3" s="29"/>
      <c r="I3" s="29"/>
      <c r="J3" s="29"/>
      <c r="K3" s="29"/>
      <c r="L3" s="29"/>
      <c r="M3" s="29"/>
      <c r="N3" s="91"/>
    </row>
    <row r="4" spans="2:14">
      <c r="B4" s="89"/>
      <c r="N4" s="91"/>
    </row>
    <row r="5" spans="2:14">
      <c r="B5" s="89"/>
      <c r="C5" s="204"/>
      <c r="D5" s="25" t="s">
        <v>61</v>
      </c>
      <c r="E5" s="25"/>
      <c r="F5" s="25"/>
      <c r="G5" s="25"/>
      <c r="H5" s="26"/>
      <c r="I5" s="25" t="s">
        <v>62</v>
      </c>
      <c r="J5" s="25"/>
      <c r="K5" s="25"/>
      <c r="L5" s="25"/>
      <c r="M5" s="25"/>
      <c r="N5" s="91"/>
    </row>
    <row r="6" spans="2:14">
      <c r="B6" s="89"/>
      <c r="C6" s="42" t="s">
        <v>63</v>
      </c>
      <c r="D6" s="30">
        <v>2019</v>
      </c>
      <c r="E6" s="30">
        <v>2020</v>
      </c>
      <c r="F6" s="30">
        <v>2021</v>
      </c>
      <c r="G6" s="30">
        <v>2022</v>
      </c>
      <c r="H6" s="27">
        <v>2023</v>
      </c>
      <c r="I6" s="30">
        <v>2024</v>
      </c>
      <c r="J6" s="30">
        <v>2025</v>
      </c>
      <c r="K6" s="30">
        <v>2026</v>
      </c>
      <c r="L6" s="30">
        <v>2027</v>
      </c>
      <c r="M6" s="30">
        <v>2028</v>
      </c>
      <c r="N6" s="91"/>
    </row>
    <row r="7" spans="2:14">
      <c r="B7" s="89"/>
      <c r="D7" s="13"/>
      <c r="E7" s="13"/>
      <c r="F7" s="13"/>
      <c r="G7" s="67"/>
      <c r="H7" s="13"/>
      <c r="I7" s="13"/>
      <c r="J7" s="13"/>
      <c r="K7" s="13"/>
      <c r="L7" s="13"/>
      <c r="M7" s="13"/>
      <c r="N7" s="91"/>
    </row>
    <row r="8" spans="2:14">
      <c r="B8" s="89"/>
      <c r="C8" s="74" t="s">
        <v>28</v>
      </c>
      <c r="D8" s="75">
        <v>9</v>
      </c>
      <c r="E8" s="75">
        <v>9</v>
      </c>
      <c r="F8" s="75">
        <v>10</v>
      </c>
      <c r="G8" s="75">
        <v>11</v>
      </c>
      <c r="H8" s="75">
        <v>12</v>
      </c>
      <c r="I8" s="220">
        <v>12.536402545551677</v>
      </c>
      <c r="J8" s="220">
        <v>13.664678774651328</v>
      </c>
      <c r="K8" s="220">
        <v>14.894499864369951</v>
      </c>
      <c r="L8" s="220">
        <v>16.235004852163247</v>
      </c>
      <c r="M8" s="220">
        <v>17.696155288857941</v>
      </c>
      <c r="N8" s="91"/>
    </row>
    <row r="9" spans="2:14">
      <c r="B9" s="89"/>
      <c r="C9" s="74" t="s">
        <v>95</v>
      </c>
      <c r="D9" s="75">
        <v>22</v>
      </c>
      <c r="E9" s="75">
        <v>23</v>
      </c>
      <c r="F9" s="75">
        <v>25</v>
      </c>
      <c r="G9" s="75">
        <v>27</v>
      </c>
      <c r="H9" s="75">
        <v>29</v>
      </c>
      <c r="I9" s="220">
        <v>31.592451994060987</v>
      </c>
      <c r="J9" s="220">
        <v>34.435772673526472</v>
      </c>
      <c r="K9" s="220">
        <v>37.534992214143863</v>
      </c>
      <c r="L9" s="220">
        <v>40.913141513416811</v>
      </c>
      <c r="M9" s="220">
        <v>44.595324249624326</v>
      </c>
      <c r="N9" s="91"/>
    </row>
    <row r="10" spans="2:14">
      <c r="B10" s="89"/>
      <c r="C10" s="74" t="s">
        <v>96</v>
      </c>
      <c r="D10" s="75">
        <v>13</v>
      </c>
      <c r="E10" s="75">
        <v>14</v>
      </c>
      <c r="F10" s="75">
        <v>15</v>
      </c>
      <c r="G10" s="75">
        <v>16</v>
      </c>
      <c r="H10" s="75">
        <v>17</v>
      </c>
      <c r="I10" s="220">
        <v>18.462826649014069</v>
      </c>
      <c r="J10" s="220">
        <v>20.124481047425338</v>
      </c>
      <c r="K10" s="220">
        <v>21.935684341693623</v>
      </c>
      <c r="L10" s="220">
        <v>23.909895932446044</v>
      </c>
      <c r="M10" s="220">
        <v>26.061786566366195</v>
      </c>
      <c r="N10" s="91"/>
    </row>
    <row r="11" spans="2:14">
      <c r="B11" s="89"/>
      <c r="N11" s="91"/>
    </row>
    <row r="12" spans="2:14">
      <c r="B12" s="89"/>
      <c r="C12" s="74" t="s">
        <v>97</v>
      </c>
      <c r="D12" s="75">
        <f t="shared" ref="D12:M12" si="0">D8+D9-D10</f>
        <v>18</v>
      </c>
      <c r="E12" s="75">
        <f t="shared" si="0"/>
        <v>18</v>
      </c>
      <c r="F12" s="75">
        <f t="shared" si="0"/>
        <v>20</v>
      </c>
      <c r="G12" s="75">
        <f t="shared" si="0"/>
        <v>22</v>
      </c>
      <c r="H12" s="221">
        <f t="shared" si="0"/>
        <v>24</v>
      </c>
      <c r="I12" s="221">
        <f t="shared" si="0"/>
        <v>25.666027890598592</v>
      </c>
      <c r="J12" s="221">
        <f t="shared" si="0"/>
        <v>27.975970400752463</v>
      </c>
      <c r="K12" s="221">
        <f t="shared" si="0"/>
        <v>30.493807736820195</v>
      </c>
      <c r="L12" s="221">
        <f t="shared" si="0"/>
        <v>33.238250433134013</v>
      </c>
      <c r="M12" s="221">
        <f t="shared" si="0"/>
        <v>36.229692972116069</v>
      </c>
      <c r="N12" s="91"/>
    </row>
    <row r="13" spans="2:14">
      <c r="B13" s="89"/>
      <c r="C13" s="57" t="s">
        <v>98</v>
      </c>
      <c r="D13" s="58">
        <v>3</v>
      </c>
      <c r="E13" s="58">
        <f t="shared" ref="E13:H13" si="1">-E12+D12</f>
        <v>0</v>
      </c>
      <c r="F13" s="58">
        <f t="shared" si="1"/>
        <v>-2</v>
      </c>
      <c r="G13" s="58">
        <f t="shared" si="1"/>
        <v>-2</v>
      </c>
      <c r="H13" s="58">
        <f t="shared" si="1"/>
        <v>-2</v>
      </c>
      <c r="I13" s="58">
        <f>-I12+H12</f>
        <v>-1.6660278905985919</v>
      </c>
      <c r="J13" s="58">
        <f t="shared" ref="J13:M13" si="2">-J12+I12</f>
        <v>-2.3099425101538706</v>
      </c>
      <c r="K13" s="58">
        <f t="shared" si="2"/>
        <v>-2.517837336067732</v>
      </c>
      <c r="L13" s="58">
        <f t="shared" si="2"/>
        <v>-2.7444426963138184</v>
      </c>
      <c r="M13" s="58">
        <f t="shared" si="2"/>
        <v>-2.9914425389820565</v>
      </c>
      <c r="N13" s="91"/>
    </row>
    <row r="14" spans="2:14">
      <c r="B14" s="89"/>
      <c r="C14" s="209"/>
      <c r="D14" s="209"/>
      <c r="E14" s="209"/>
      <c r="F14" s="209"/>
      <c r="G14" s="209"/>
      <c r="H14" s="209"/>
      <c r="I14" s="209"/>
      <c r="J14" s="209"/>
      <c r="K14" s="209"/>
      <c r="L14" s="209"/>
      <c r="M14" s="209"/>
      <c r="N14" s="91"/>
    </row>
    <row r="15" spans="2:14">
      <c r="B15" s="89"/>
      <c r="C15" s="137" t="s">
        <v>24</v>
      </c>
      <c r="D15" s="221">
        <v>-4.38</v>
      </c>
      <c r="E15" s="221">
        <v>-4.7039999999999997</v>
      </c>
      <c r="F15" s="221">
        <v>-5.0759999999999996</v>
      </c>
      <c r="G15" s="221">
        <v>-5</v>
      </c>
      <c r="H15" s="221">
        <v>-15</v>
      </c>
      <c r="I15" s="77">
        <v>-5.8558153846153846</v>
      </c>
      <c r="J15" s="77">
        <v>-6.3828387692307684</v>
      </c>
      <c r="K15" s="77">
        <v>-6.9572942584615394</v>
      </c>
      <c r="L15" s="77">
        <v>-7.5834507417230776</v>
      </c>
      <c r="M15" s="77">
        <v>-8.2659613084781558</v>
      </c>
      <c r="N15" s="91"/>
    </row>
    <row r="16" spans="2:14">
      <c r="B16" s="147"/>
      <c r="C16" s="152"/>
      <c r="D16" s="152"/>
      <c r="E16" s="152"/>
      <c r="F16" s="152"/>
      <c r="G16" s="152"/>
      <c r="H16" s="152"/>
      <c r="I16" s="152"/>
      <c r="J16" s="152"/>
      <c r="K16" s="152"/>
      <c r="L16" s="152"/>
      <c r="M16" s="152"/>
      <c r="N16" s="150"/>
    </row>
    <row r="17" spans="3:13">
      <c r="D17" s="75"/>
      <c r="E17" s="75"/>
      <c r="F17" s="75"/>
      <c r="G17" s="75"/>
      <c r="H17" s="75"/>
    </row>
    <row r="18" spans="3:13">
      <c r="C18" s="74" t="s">
        <v>210</v>
      </c>
      <c r="D18" s="75">
        <f>D8/'P&amp;L'!F15*365</f>
        <v>59.727272727272727</v>
      </c>
      <c r="E18" s="75">
        <f>E8/'P&amp;L'!G15*365</f>
        <v>56.637931034482762</v>
      </c>
      <c r="F18" s="75">
        <f>F8/'P&amp;L'!H15*365</f>
        <v>59.83606557377049</v>
      </c>
      <c r="G18" s="75">
        <f>G8/'P&amp;L'!I15*365</f>
        <v>61.769230769230774</v>
      </c>
      <c r="H18" s="75">
        <f>H8/'P&amp;L'!J15*365</f>
        <v>62.571428571428569</v>
      </c>
      <c r="I18" s="75">
        <f>AVERAGE(D18:H18)</f>
        <v>60.108385735237064</v>
      </c>
      <c r="J18" s="75"/>
      <c r="K18" s="75"/>
      <c r="L18" s="75"/>
      <c r="M18" s="75"/>
    </row>
    <row r="19" spans="3:13">
      <c r="C19" s="74" t="s">
        <v>211</v>
      </c>
      <c r="D19" s="75">
        <f>D9/'P&amp;L'!F12*365</f>
        <v>36.666666666666664</v>
      </c>
      <c r="E19" s="75">
        <f>E9/'P&amp;L'!G12*365</f>
        <v>35.876068376068375</v>
      </c>
      <c r="F19" s="75">
        <f>F9/'P&amp;L'!H12*365</f>
        <v>36.354581673306768</v>
      </c>
      <c r="G19" s="75">
        <f>G9/'P&amp;L'!I12*365</f>
        <v>36.5</v>
      </c>
      <c r="H19" s="75">
        <f>H9/'P&amp;L'!J12*365</f>
        <v>36.374570446735397</v>
      </c>
      <c r="I19" s="75">
        <f>AVERAGE(D19:H19)</f>
        <v>36.354377432555438</v>
      </c>
    </row>
    <row r="20" spans="3:13">
      <c r="C20" s="74" t="s">
        <v>212</v>
      </c>
      <c r="D20" s="75">
        <f>D10/'P&amp;L'!F15*365</f>
        <v>86.272727272727266</v>
      </c>
      <c r="E20" s="75">
        <f>E10/'P&amp;L'!G15*365</f>
        <v>88.103448275862078</v>
      </c>
      <c r="F20" s="75">
        <f>F10/'P&amp;L'!H15*365</f>
        <v>89.754098360655732</v>
      </c>
      <c r="G20" s="75">
        <f>G10/'P&amp;L'!I15*365</f>
        <v>89.846153846153854</v>
      </c>
      <c r="H20" s="75">
        <f>H10/'P&amp;L'!J15*365</f>
        <v>88.642857142857139</v>
      </c>
      <c r="I20" s="75">
        <f>AVERAGE(D20:H20)</f>
        <v>88.523856979651214</v>
      </c>
    </row>
    <row r="23" spans="3:13">
      <c r="C23" s="74" t="s">
        <v>24</v>
      </c>
      <c r="D23" s="201">
        <f>D15/'P&amp;L'!F15</f>
        <v>-7.963636363636363E-2</v>
      </c>
      <c r="E23" s="201">
        <f>E15/'P&amp;L'!G15</f>
        <v>-8.1103448275862064E-2</v>
      </c>
      <c r="F23" s="201">
        <f>F15/'P&amp;L'!H15</f>
        <v>-8.3213114754098358E-2</v>
      </c>
      <c r="G23" s="201">
        <f>G15/'P&amp;L'!I15</f>
        <v>-7.6923076923076927E-2</v>
      </c>
      <c r="H23" s="201">
        <f>H15/'P&amp;L'!J15</f>
        <v>-0.21428571428571427</v>
      </c>
      <c r="I23" s="201">
        <f>I15/'P&amp;L'!K15</f>
        <v>-7.6923076923076927E-2</v>
      </c>
    </row>
    <row r="25" spans="3:13">
      <c r="C25" s="74" t="s">
        <v>213</v>
      </c>
      <c r="D25" s="200">
        <f>D15/'P&amp;L'!F12</f>
        <v>-0.02</v>
      </c>
      <c r="E25" s="200">
        <f>E15/'P&amp;L'!G12</f>
        <v>-2.0102564102564103E-2</v>
      </c>
      <c r="F25" s="200">
        <f>F15/'P&amp;L'!H12</f>
        <v>-2.0223107569721115E-2</v>
      </c>
      <c r="G25" s="200">
        <f>G15/'P&amp;L'!I12</f>
        <v>-1.8518518518518517E-2</v>
      </c>
      <c r="H25" s="200">
        <f>H15/'P&amp;L'!J12</f>
        <v>-5.1546391752577317E-2</v>
      </c>
      <c r="I25" s="200">
        <f>I15/'P&amp;L'!K12</f>
        <v>-1.8461538461538463E-2</v>
      </c>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1409-B739-4D7F-86EF-159C7109DC35}">
  <sheetPr>
    <tabColor theme="3" tint="0.79998168889431442"/>
  </sheetPr>
  <dimension ref="B2:J14"/>
  <sheetViews>
    <sheetView showGridLines="0" topLeftCell="AA1" workbookViewId="0">
      <selection activeCell="I15" sqref="I15"/>
    </sheetView>
  </sheetViews>
  <sheetFormatPr defaultColWidth="8.7109375" defaultRowHeight="15.75"/>
  <cols>
    <col min="1" max="1" width="8.7109375" style="74"/>
    <col min="2" max="2" width="1.28515625" style="74" customWidth="1"/>
    <col min="3" max="3" width="31.42578125" style="74" customWidth="1"/>
    <col min="4" max="5" width="9.140625" style="74"/>
    <col min="6" max="6" width="9.85546875" style="74" customWidth="1"/>
    <col min="7" max="9" width="9.140625" style="74"/>
    <col min="10" max="10" width="1.42578125" style="74" customWidth="1"/>
    <col min="11" max="16384" width="8.7109375" style="74"/>
  </cols>
  <sheetData>
    <row r="2" spans="2:10">
      <c r="B2" s="86"/>
      <c r="C2" s="87"/>
      <c r="D2" s="87"/>
      <c r="E2" s="87"/>
      <c r="F2" s="87"/>
      <c r="G2" s="87"/>
      <c r="H2" s="87"/>
      <c r="I2" s="87"/>
      <c r="J2" s="88"/>
    </row>
    <row r="3" spans="2:10">
      <c r="B3" s="40" t="s">
        <v>104</v>
      </c>
      <c r="C3" s="29"/>
      <c r="D3" s="29"/>
      <c r="E3" s="29"/>
      <c r="F3" s="29"/>
      <c r="G3" s="29"/>
      <c r="H3" s="29"/>
      <c r="I3" s="29"/>
      <c r="J3" s="91"/>
    </row>
    <row r="4" spans="2:10">
      <c r="B4" s="89"/>
      <c r="J4" s="91"/>
    </row>
    <row r="5" spans="2:10">
      <c r="B5" s="89"/>
      <c r="C5" s="42"/>
      <c r="D5" s="26" t="s">
        <v>105</v>
      </c>
      <c r="E5" s="25" t="s">
        <v>62</v>
      </c>
      <c r="F5" s="25"/>
      <c r="G5" s="25"/>
      <c r="H5" s="25"/>
      <c r="I5" s="25"/>
      <c r="J5" s="91"/>
    </row>
    <row r="6" spans="2:10">
      <c r="B6" s="89"/>
      <c r="C6" s="42" t="s">
        <v>63</v>
      </c>
      <c r="D6" s="27">
        <v>2023</v>
      </c>
      <c r="E6" s="30">
        <v>2024</v>
      </c>
      <c r="F6" s="30">
        <v>2025</v>
      </c>
      <c r="G6" s="30">
        <v>2026</v>
      </c>
      <c r="H6" s="30">
        <v>2027</v>
      </c>
      <c r="I6" s="30">
        <v>2027</v>
      </c>
      <c r="J6" s="91"/>
    </row>
    <row r="7" spans="2:10">
      <c r="B7" s="89"/>
      <c r="D7" s="222"/>
      <c r="J7" s="91"/>
    </row>
    <row r="8" spans="2:10">
      <c r="B8" s="89"/>
      <c r="C8" s="74" t="s">
        <v>106</v>
      </c>
      <c r="D8" s="223"/>
      <c r="E8" s="71">
        <f>'P&amp;L'!K30</f>
        <v>43.480067894235034</v>
      </c>
      <c r="F8" s="71">
        <f>'P&amp;L'!L30</f>
        <v>47.241467295484725</v>
      </c>
      <c r="G8" s="71">
        <f>'P&amp;L'!M30</f>
        <v>51.737105961503843</v>
      </c>
      <c r="H8" s="71">
        <f>'P&amp;L'!N30</f>
        <v>56.351486670889422</v>
      </c>
      <c r="I8" s="71">
        <f>'P&amp;L'!O30</f>
        <v>61.361677613847547</v>
      </c>
      <c r="J8" s="91"/>
    </row>
    <row r="9" spans="2:10">
      <c r="B9" s="89"/>
      <c r="C9" s="74" t="s">
        <v>107</v>
      </c>
      <c r="D9" s="223"/>
      <c r="E9" s="71">
        <f>-'P&amp;L'!K38</f>
        <v>-7.3125</v>
      </c>
      <c r="F9" s="71">
        <f>-'P&amp;L'!L38</f>
        <v>-7.3125</v>
      </c>
      <c r="G9" s="71">
        <f>-'P&amp;L'!M38</f>
        <v>-7.3125</v>
      </c>
      <c r="H9" s="71">
        <f>-'P&amp;L'!N38</f>
        <v>-7.3125</v>
      </c>
      <c r="I9" s="71">
        <f>-'P&amp;L'!O38</f>
        <v>-7.3125</v>
      </c>
      <c r="J9" s="91"/>
    </row>
    <row r="10" spans="2:10">
      <c r="B10" s="89"/>
      <c r="C10" s="74" t="s">
        <v>108</v>
      </c>
      <c r="D10" s="222"/>
      <c r="E10" s="71">
        <f>-'P&amp;L'!K43</f>
        <v>-6.5612289367317072</v>
      </c>
      <c r="F10" s="71">
        <f>-'P&amp;L'!L43</f>
        <v>-7.263129565006639</v>
      </c>
      <c r="G10" s="71">
        <f>-'P&amp;L'!M43</f>
        <v>-8.1152581799308461</v>
      </c>
      <c r="H10" s="71">
        <f>-'P&amp;L'!N43</f>
        <v>-8.9811879741516716</v>
      </c>
      <c r="I10" s="71">
        <f>-'P&amp;L'!O43</f>
        <v>-9.9207649631925001</v>
      </c>
      <c r="J10" s="91"/>
    </row>
    <row r="11" spans="2:10">
      <c r="B11" s="89"/>
      <c r="C11" s="74" t="s">
        <v>109</v>
      </c>
      <c r="D11" s="222"/>
      <c r="E11" s="71">
        <f>'Working Capital &amp; Capex'!I13</f>
        <v>-1.6660278905985919</v>
      </c>
      <c r="F11" s="71">
        <f>'Working Capital &amp; Capex'!J13</f>
        <v>-2.3099425101538706</v>
      </c>
      <c r="G11" s="71">
        <f>'Working Capital &amp; Capex'!K13</f>
        <v>-2.517837336067732</v>
      </c>
      <c r="H11" s="71">
        <f>'Working Capital &amp; Capex'!L13</f>
        <v>-2.7444426963138184</v>
      </c>
      <c r="I11" s="71">
        <f>'Working Capital &amp; Capex'!M13</f>
        <v>-2.9914425389820565</v>
      </c>
      <c r="J11" s="91"/>
    </row>
    <row r="12" spans="2:10">
      <c r="B12" s="89"/>
      <c r="C12" s="137" t="s">
        <v>110</v>
      </c>
      <c r="D12" s="137"/>
      <c r="E12" s="233">
        <f>'Working Capital &amp; Capex'!I15</f>
        <v>-5.8558153846153846</v>
      </c>
      <c r="F12" s="234">
        <f>'Working Capital &amp; Capex'!J15</f>
        <v>-6.3828387692307684</v>
      </c>
      <c r="G12" s="234">
        <f>'Working Capital &amp; Capex'!K15</f>
        <v>-6.9572942584615394</v>
      </c>
      <c r="H12" s="234">
        <f>'Working Capital &amp; Capex'!L15</f>
        <v>-7.5834507417230776</v>
      </c>
      <c r="I12" s="234">
        <f>'Working Capital &amp; Capex'!M15</f>
        <v>-8.2659613084781558</v>
      </c>
      <c r="J12" s="91"/>
    </row>
    <row r="13" spans="2:10">
      <c r="B13" s="147"/>
      <c r="C13" s="8" t="s">
        <v>111</v>
      </c>
      <c r="D13" s="15"/>
      <c r="E13" s="41">
        <f>SUM(E8:E12)</f>
        <v>22.084495682289351</v>
      </c>
      <c r="F13" s="41">
        <f t="shared" ref="F13:I13" si="0">SUM(F8:F12)</f>
        <v>23.973056451093449</v>
      </c>
      <c r="G13" s="41">
        <f t="shared" si="0"/>
        <v>26.834216187043729</v>
      </c>
      <c r="H13" s="41">
        <f t="shared" si="0"/>
        <v>29.729905258700853</v>
      </c>
      <c r="I13" s="41">
        <f t="shared" si="0"/>
        <v>32.87100880319484</v>
      </c>
      <c r="J13" s="91"/>
    </row>
    <row r="14" spans="2:10">
      <c r="B14" s="147"/>
      <c r="C14" s="152"/>
      <c r="D14" s="225"/>
      <c r="E14" s="225"/>
      <c r="F14" s="225"/>
      <c r="G14" s="225"/>
      <c r="H14" s="152"/>
      <c r="I14" s="152"/>
      <c r="J14" s="150"/>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7921-A54D-41F6-AA6C-15AEDA264083}">
  <sheetPr>
    <tabColor theme="4" tint="0.79998168889431442"/>
  </sheetPr>
  <dimension ref="B2:Q25"/>
  <sheetViews>
    <sheetView showGridLines="0" topLeftCell="A12" zoomScale="84" workbookViewId="0">
      <selection activeCell="K28" sqref="K28"/>
    </sheetView>
  </sheetViews>
  <sheetFormatPr defaultColWidth="8.7109375" defaultRowHeight="15.75"/>
  <cols>
    <col min="1" max="1" width="8.7109375" style="74"/>
    <col min="2" max="2" width="1.85546875" style="74" customWidth="1"/>
    <col min="3" max="3" width="36.140625" style="74" bestFit="1" customWidth="1"/>
    <col min="4" max="4" width="13.140625" style="74" bestFit="1" customWidth="1"/>
    <col min="5" max="5" width="9.42578125" style="74" bestFit="1" customWidth="1"/>
    <col min="6" max="6" width="9.7109375" style="74" customWidth="1"/>
    <col min="7" max="9" width="9.140625" style="74"/>
    <col min="10" max="10" width="1.140625" style="74" customWidth="1"/>
    <col min="11" max="11" width="8.140625" style="74" customWidth="1"/>
    <col min="12" max="12" width="1" style="74" customWidth="1"/>
    <col min="13" max="13" width="10" style="74" bestFit="1" customWidth="1"/>
    <col min="14" max="16384" width="8.7109375" style="74"/>
  </cols>
  <sheetData>
    <row r="2" spans="2:17">
      <c r="B2" s="86"/>
      <c r="C2" s="87"/>
      <c r="D2" s="87"/>
      <c r="E2" s="87"/>
      <c r="F2" s="87"/>
      <c r="G2" s="87"/>
      <c r="H2" s="87"/>
      <c r="I2" s="87"/>
      <c r="J2" s="88"/>
    </row>
    <row r="3" spans="2:17">
      <c r="B3" s="40" t="s">
        <v>112</v>
      </c>
      <c r="C3" s="29"/>
      <c r="D3" s="29"/>
      <c r="E3" s="29"/>
      <c r="F3" s="29"/>
      <c r="G3" s="29"/>
      <c r="H3" s="29"/>
      <c r="I3" s="29"/>
      <c r="J3" s="23"/>
      <c r="K3" s="10"/>
      <c r="L3" s="10"/>
      <c r="M3" s="10"/>
      <c r="N3" s="10"/>
      <c r="O3" s="10"/>
      <c r="P3" s="10"/>
      <c r="Q3" s="10"/>
    </row>
    <row r="4" spans="2:17">
      <c r="B4" s="89"/>
      <c r="J4" s="91"/>
    </row>
    <row r="5" spans="2:17">
      <c r="B5" s="89"/>
      <c r="C5" s="42"/>
      <c r="D5" s="35" t="s">
        <v>105</v>
      </c>
      <c r="E5" s="25" t="s">
        <v>62</v>
      </c>
      <c r="F5" s="31"/>
      <c r="G5" s="31"/>
      <c r="H5" s="31"/>
      <c r="I5" s="31"/>
      <c r="J5" s="91"/>
    </row>
    <row r="6" spans="2:17">
      <c r="B6" s="89"/>
      <c r="C6" s="42" t="s">
        <v>63</v>
      </c>
      <c r="D6" s="27">
        <v>2023</v>
      </c>
      <c r="E6" s="30">
        <v>2024</v>
      </c>
      <c r="F6" s="30">
        <v>2025</v>
      </c>
      <c r="G6" s="30">
        <v>2026</v>
      </c>
      <c r="H6" s="30">
        <v>2027</v>
      </c>
      <c r="I6" s="30">
        <v>2027</v>
      </c>
      <c r="J6" s="91"/>
    </row>
    <row r="7" spans="2:17">
      <c r="B7" s="89"/>
      <c r="J7" s="91"/>
    </row>
    <row r="8" spans="2:17">
      <c r="B8" s="89"/>
      <c r="C8" s="74" t="s">
        <v>113</v>
      </c>
      <c r="E8" s="226">
        <f>'FCFF &amp; FCFE'!E13</f>
        <v>22.084495682289351</v>
      </c>
      <c r="F8" s="226">
        <f>'FCFF &amp; FCFE'!F13</f>
        <v>23.973056451093449</v>
      </c>
      <c r="G8" s="226">
        <f>'FCFF &amp; FCFE'!G13</f>
        <v>26.834216187043729</v>
      </c>
      <c r="H8" s="226">
        <f>'FCFF &amp; FCFE'!H13</f>
        <v>29.729905258700853</v>
      </c>
      <c r="I8" s="226">
        <f>'FCFF &amp; FCFE'!I13</f>
        <v>32.87100880319484</v>
      </c>
      <c r="J8" s="91"/>
    </row>
    <row r="9" spans="2:17">
      <c r="B9" s="89"/>
      <c r="E9" s="227"/>
      <c r="F9" s="227"/>
      <c r="G9" s="227"/>
      <c r="H9" s="227"/>
      <c r="I9" s="227"/>
      <c r="J9" s="91"/>
    </row>
    <row r="10" spans="2:17">
      <c r="B10" s="89"/>
      <c r="C10" s="74" t="s">
        <v>114</v>
      </c>
      <c r="E10" s="226">
        <f>E8/(1+$D$16)^1</f>
        <v>19.203909288947262</v>
      </c>
      <c r="F10" s="226">
        <f>F8/(1+$D$16)^2</f>
        <v>18.127074821242687</v>
      </c>
      <c r="G10" s="226">
        <f>G8/(1+$D$16)^3</f>
        <v>17.643932727570469</v>
      </c>
      <c r="H10" s="226">
        <f>H8/(1+$D$16)^4</f>
        <v>16.998169822835603</v>
      </c>
      <c r="I10" s="226">
        <f>I8/(1+$D$16)^5</f>
        <v>16.342700842733759</v>
      </c>
      <c r="J10" s="91"/>
    </row>
    <row r="11" spans="2:17">
      <c r="B11" s="89"/>
      <c r="E11" s="228"/>
      <c r="F11" s="228"/>
      <c r="G11" s="228"/>
      <c r="H11" s="228"/>
      <c r="I11" s="228"/>
      <c r="J11" s="91"/>
    </row>
    <row r="12" spans="2:17">
      <c r="B12" s="89"/>
      <c r="C12" s="74" t="s">
        <v>115</v>
      </c>
      <c r="E12" s="229"/>
      <c r="F12" s="229"/>
      <c r="G12" s="229"/>
      <c r="H12" s="230" t="s">
        <v>116</v>
      </c>
      <c r="I12" s="231">
        <f>I8*(1+D18)/(D16-D18)</f>
        <v>310.78044686656943</v>
      </c>
      <c r="J12" s="91"/>
    </row>
    <row r="13" spans="2:17">
      <c r="B13" s="89"/>
      <c r="E13" s="229"/>
      <c r="F13" s="229"/>
      <c r="G13" s="229"/>
      <c r="H13" s="232"/>
      <c r="I13" s="218"/>
      <c r="J13" s="91"/>
    </row>
    <row r="14" spans="2:17">
      <c r="B14" s="89"/>
      <c r="C14" s="74" t="s">
        <v>117</v>
      </c>
      <c r="E14" s="229"/>
      <c r="F14" s="229"/>
      <c r="G14" s="229"/>
      <c r="H14" s="230" t="s">
        <v>116</v>
      </c>
      <c r="I14" s="231">
        <f>I12/(1+D16)^5</f>
        <v>154.51280796766463</v>
      </c>
      <c r="J14" s="91"/>
    </row>
    <row r="15" spans="2:17">
      <c r="B15" s="89"/>
      <c r="E15" s="228"/>
      <c r="F15" s="228"/>
      <c r="G15" s="228"/>
      <c r="H15" s="228"/>
      <c r="I15" s="228"/>
      <c r="J15" s="91"/>
    </row>
    <row r="16" spans="2:17">
      <c r="B16" s="89"/>
      <c r="C16" s="74" t="s">
        <v>118</v>
      </c>
      <c r="D16" s="32">
        <v>0.15</v>
      </c>
      <c r="J16" s="91"/>
    </row>
    <row r="17" spans="2:11">
      <c r="B17" s="89"/>
      <c r="D17" s="103"/>
      <c r="J17" s="91"/>
    </row>
    <row r="18" spans="2:11">
      <c r="B18" s="89"/>
      <c r="C18" s="74" t="s">
        <v>119</v>
      </c>
      <c r="D18" s="32">
        <v>0.04</v>
      </c>
      <c r="J18" s="91"/>
    </row>
    <row r="19" spans="2:11">
      <c r="B19" s="89"/>
      <c r="J19" s="91"/>
    </row>
    <row r="20" spans="2:11">
      <c r="B20" s="89"/>
      <c r="C20" s="11" t="s">
        <v>120</v>
      </c>
      <c r="D20" s="231">
        <f>SUM(E10:I10,I14)</f>
        <v>242.8285954709944</v>
      </c>
      <c r="J20" s="91"/>
    </row>
    <row r="21" spans="2:11">
      <c r="B21" s="89"/>
      <c r="C21" s="11" t="s">
        <v>121</v>
      </c>
      <c r="D21" s="64">
        <v>195</v>
      </c>
      <c r="J21" s="91"/>
    </row>
    <row r="22" spans="2:11">
      <c r="B22" s="89"/>
      <c r="C22" s="8" t="s">
        <v>123</v>
      </c>
      <c r="D22" s="63">
        <f>SUM(D20:D21)</f>
        <v>437.8285954709944</v>
      </c>
      <c r="F22" s="74" t="s">
        <v>214</v>
      </c>
      <c r="J22" s="91"/>
    </row>
    <row r="23" spans="2:11">
      <c r="B23" s="147"/>
      <c r="C23" s="36"/>
      <c r="D23" s="37"/>
      <c r="E23" s="37"/>
      <c r="F23" s="37"/>
      <c r="G23" s="37"/>
      <c r="H23" s="152"/>
      <c r="I23" s="152"/>
      <c r="J23" s="38"/>
      <c r="K23" s="34"/>
    </row>
    <row r="24" spans="2:11">
      <c r="C24" s="74" t="s">
        <v>215</v>
      </c>
      <c r="D24" s="74">
        <f>(1+D16)^5</f>
        <v>2.0113571874999994</v>
      </c>
    </row>
    <row r="25" spans="2:11">
      <c r="C25" s="74" t="s">
        <v>216</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4867-26BF-495F-B26D-A3C262702079}">
  <sheetPr>
    <tabColor rgb="FF009999"/>
  </sheetPr>
  <dimension ref="B3:B4"/>
  <sheetViews>
    <sheetView showGridLines="0" workbookViewId="0">
      <selection activeCell="B3" sqref="B3:B4"/>
    </sheetView>
  </sheetViews>
  <sheetFormatPr defaultRowHeight="15"/>
  <sheetData>
    <row r="3" spans="2:2" ht="33.75">
      <c r="B3" s="85" t="s">
        <v>55</v>
      </c>
    </row>
    <row r="4" spans="2:2" ht="33.75">
      <c r="B4" s="85" t="s">
        <v>56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39DD-8138-4216-BBAE-54018303D2D5}">
  <sheetPr>
    <tabColor rgb="FF59C78D"/>
  </sheetPr>
  <dimension ref="B1:U68"/>
  <sheetViews>
    <sheetView showGridLines="0" topLeftCell="A38" zoomScale="136" zoomScaleNormal="90" workbookViewId="0">
      <selection activeCell="C8" sqref="C8"/>
    </sheetView>
  </sheetViews>
  <sheetFormatPr defaultColWidth="8.7109375" defaultRowHeight="15.95"/>
  <cols>
    <col min="1" max="1" width="8.7109375" style="7"/>
    <col min="2" max="2" width="1.42578125" style="7" customWidth="1"/>
    <col min="3" max="3" width="13.140625" style="7" bestFit="1" customWidth="1"/>
    <col min="4" max="4" width="18.42578125" style="7" customWidth="1"/>
    <col min="5" max="5" width="8.42578125" style="16" customWidth="1"/>
    <col min="6" max="6" width="8.85546875" style="7" customWidth="1"/>
    <col min="7" max="7" width="8.42578125" style="7" customWidth="1"/>
    <col min="8" max="8" width="8.28515625" style="7" customWidth="1"/>
    <col min="9" max="9" width="7.85546875" style="7" customWidth="1"/>
    <col min="10" max="10" width="8.7109375" style="7" customWidth="1"/>
    <col min="11" max="11" width="9" style="7" customWidth="1"/>
    <col min="12" max="12" width="10.28515625" style="7" customWidth="1"/>
    <col min="13" max="13" width="9.7109375" style="7" customWidth="1"/>
    <col min="14" max="14" width="8.7109375" style="7"/>
    <col min="15" max="15" width="8.85546875" style="7" bestFit="1" customWidth="1"/>
    <col min="16" max="16" width="1.42578125" style="7" customWidth="1"/>
    <col min="17" max="17" width="12.42578125" style="7" bestFit="1" customWidth="1"/>
    <col min="18" max="18" width="8.140625" style="7" bestFit="1" customWidth="1"/>
    <col min="19" max="19" width="9.42578125" style="7" bestFit="1" customWidth="1"/>
    <col min="20" max="16384" width="8.7109375" style="7"/>
  </cols>
  <sheetData>
    <row r="1" spans="2:16" ht="17.100000000000001" thickBot="1">
      <c r="B1" s="74"/>
      <c r="C1" s="74"/>
      <c r="D1" s="74"/>
      <c r="E1" s="103"/>
      <c r="F1" s="74"/>
      <c r="G1" s="74"/>
      <c r="H1" s="74"/>
      <c r="I1" s="74"/>
      <c r="J1" s="74"/>
      <c r="K1" s="74"/>
      <c r="L1" s="74"/>
      <c r="M1" s="74"/>
      <c r="N1" s="74"/>
      <c r="O1" s="74"/>
      <c r="P1" s="74"/>
    </row>
    <row r="2" spans="2:16">
      <c r="B2" s="86"/>
      <c r="C2" s="87"/>
      <c r="D2" s="87"/>
      <c r="E2" s="203"/>
      <c r="F2" s="87"/>
      <c r="G2" s="87"/>
      <c r="H2" s="87"/>
      <c r="I2" s="87"/>
      <c r="J2" s="87"/>
      <c r="K2" s="87"/>
      <c r="L2" s="87"/>
      <c r="M2" s="87"/>
      <c r="N2" s="87"/>
      <c r="O2" s="87"/>
      <c r="P2" s="88"/>
    </row>
    <row r="3" spans="2:16">
      <c r="B3" s="89"/>
      <c r="C3" s="74"/>
      <c r="D3" s="74"/>
      <c r="E3" s="103"/>
      <c r="F3" s="74"/>
      <c r="G3" s="74"/>
      <c r="H3" s="74"/>
      <c r="I3" s="74"/>
      <c r="J3" s="74"/>
      <c r="K3" s="74"/>
      <c r="L3" s="74"/>
      <c r="M3" s="74"/>
      <c r="N3" s="74"/>
      <c r="O3" s="74"/>
      <c r="P3" s="91"/>
    </row>
    <row r="4" spans="2:16">
      <c r="B4" s="89"/>
      <c r="C4" s="74"/>
      <c r="D4" s="74"/>
      <c r="E4" s="103"/>
      <c r="F4" s="74"/>
      <c r="G4" s="74"/>
      <c r="H4" s="74"/>
      <c r="I4" s="74"/>
      <c r="J4" s="74"/>
      <c r="K4" s="74"/>
      <c r="L4" s="74"/>
      <c r="M4" s="74"/>
      <c r="N4" s="74"/>
      <c r="O4" s="74"/>
      <c r="P4" s="91"/>
    </row>
    <row r="5" spans="2:16">
      <c r="B5" s="89"/>
      <c r="C5" s="74"/>
      <c r="D5" s="74"/>
      <c r="E5" s="103"/>
      <c r="F5" s="74"/>
      <c r="G5" s="74"/>
      <c r="H5" s="74"/>
      <c r="I5" s="74"/>
      <c r="J5" s="74"/>
      <c r="K5" s="74"/>
      <c r="L5" s="74"/>
      <c r="M5" s="74"/>
      <c r="N5" s="74"/>
      <c r="O5" s="74"/>
      <c r="P5" s="91"/>
    </row>
    <row r="6" spans="2:16">
      <c r="B6" s="89"/>
      <c r="C6" s="74" t="s">
        <v>57</v>
      </c>
      <c r="D6" s="74"/>
      <c r="E6" s="46" t="s">
        <v>58</v>
      </c>
      <c r="F6" s="47"/>
      <c r="G6" s="74"/>
      <c r="H6" s="74"/>
      <c r="I6" s="74"/>
      <c r="J6" s="74" t="s">
        <v>59</v>
      </c>
      <c r="K6" s="74"/>
      <c r="L6" s="72">
        <v>5</v>
      </c>
      <c r="M6" s="74"/>
      <c r="N6" s="74"/>
      <c r="O6" s="74"/>
      <c r="P6" s="91"/>
    </row>
    <row r="7" spans="2:16">
      <c r="B7" s="89"/>
      <c r="C7" s="74"/>
      <c r="D7" s="74"/>
      <c r="E7" s="103"/>
      <c r="F7" s="74"/>
      <c r="G7" s="74"/>
      <c r="H7" s="74"/>
      <c r="I7" s="74"/>
      <c r="J7" s="74"/>
      <c r="K7" s="74"/>
      <c r="L7" s="74"/>
      <c r="M7" s="74"/>
      <c r="N7" s="74"/>
      <c r="O7" s="74"/>
      <c r="P7" s="91"/>
    </row>
    <row r="8" spans="2:16">
      <c r="B8" s="40" t="s">
        <v>60</v>
      </c>
      <c r="C8" s="29"/>
      <c r="D8" s="29"/>
      <c r="E8" s="51"/>
      <c r="F8" s="29"/>
      <c r="G8" s="29"/>
      <c r="H8" s="29"/>
      <c r="I8" s="29"/>
      <c r="J8" s="29"/>
      <c r="K8" s="29"/>
      <c r="L8" s="29"/>
      <c r="M8" s="29"/>
      <c r="N8" s="29"/>
      <c r="O8" s="29"/>
      <c r="P8" s="91"/>
    </row>
    <row r="9" spans="2:16">
      <c r="B9" s="9"/>
      <c r="C9" s="10"/>
      <c r="D9" s="10"/>
      <c r="E9" s="17"/>
      <c r="F9" s="10"/>
      <c r="G9" s="10"/>
      <c r="H9" s="10"/>
      <c r="I9" s="10"/>
      <c r="J9" s="10"/>
      <c r="K9" s="10"/>
      <c r="L9" s="10"/>
      <c r="M9" s="10"/>
      <c r="N9" s="10"/>
      <c r="O9" s="74"/>
      <c r="P9" s="91"/>
    </row>
    <row r="10" spans="2:16">
      <c r="B10" s="89"/>
      <c r="C10" s="204"/>
      <c r="D10" s="204"/>
      <c r="E10" s="205"/>
      <c r="F10" s="25" t="s">
        <v>61</v>
      </c>
      <c r="G10" s="25"/>
      <c r="H10" s="25"/>
      <c r="I10" s="25"/>
      <c r="J10" s="26"/>
      <c r="K10" s="25" t="s">
        <v>62</v>
      </c>
      <c r="L10" s="25"/>
      <c r="M10" s="25"/>
      <c r="N10" s="25"/>
      <c r="O10" s="25"/>
      <c r="P10" s="91"/>
    </row>
    <row r="11" spans="2:16">
      <c r="B11" s="89"/>
      <c r="C11" s="42" t="s">
        <v>63</v>
      </c>
      <c r="D11" s="39"/>
      <c r="E11" s="50" t="s">
        <v>64</v>
      </c>
      <c r="F11" s="30">
        <v>2019</v>
      </c>
      <c r="G11" s="30">
        <v>2020</v>
      </c>
      <c r="H11" s="30">
        <v>2021</v>
      </c>
      <c r="I11" s="30">
        <v>2022</v>
      </c>
      <c r="J11" s="27">
        <v>2023</v>
      </c>
      <c r="K11" s="30">
        <v>2024</v>
      </c>
      <c r="L11" s="30">
        <v>2025</v>
      </c>
      <c r="M11" s="30">
        <v>2026</v>
      </c>
      <c r="N11" s="30">
        <v>2027</v>
      </c>
      <c r="O11" s="30">
        <v>2028</v>
      </c>
      <c r="P11" s="91"/>
    </row>
    <row r="12" spans="2:16">
      <c r="B12" s="89"/>
      <c r="C12" s="74"/>
      <c r="D12" s="74"/>
      <c r="E12" s="103"/>
      <c r="F12" s="74"/>
      <c r="G12" s="74"/>
      <c r="H12" s="74"/>
      <c r="I12" s="74"/>
      <c r="J12" s="74"/>
      <c r="K12" s="65"/>
      <c r="L12" s="65"/>
      <c r="M12" s="65"/>
      <c r="N12" s="65"/>
      <c r="O12" s="65"/>
      <c r="P12" s="91"/>
    </row>
    <row r="13" spans="2:16">
      <c r="B13" s="89"/>
      <c r="C13" s="11" t="s">
        <v>65</v>
      </c>
      <c r="D13" s="11"/>
      <c r="E13" s="52" t="s">
        <v>66</v>
      </c>
      <c r="F13" s="11">
        <v>612</v>
      </c>
      <c r="G13" s="11">
        <v>662</v>
      </c>
      <c r="H13" s="11">
        <v>708</v>
      </c>
      <c r="I13" s="11">
        <v>723</v>
      </c>
      <c r="J13" s="11">
        <v>740</v>
      </c>
      <c r="K13" s="59">
        <f>J13*(1+K14)</f>
        <v>769.6</v>
      </c>
      <c r="L13" s="59">
        <f t="shared" ref="L13:M13" si="0">K13*(1+L14)</f>
        <v>801.92320000000007</v>
      </c>
      <c r="M13" s="59">
        <f t="shared" si="0"/>
        <v>837.20782080000015</v>
      </c>
      <c r="N13" s="59">
        <f t="shared" ref="N13" si="1">M13*(1+N14)</f>
        <v>875.71938055680016</v>
      </c>
      <c r="O13" s="59">
        <f t="shared" ref="O13" si="2">N13*(1+O14)</f>
        <v>917.75391082352655</v>
      </c>
      <c r="P13" s="91"/>
    </row>
    <row r="14" spans="2:16">
      <c r="B14" s="89"/>
      <c r="C14" s="12" t="s">
        <v>67</v>
      </c>
      <c r="D14" s="12"/>
      <c r="E14" s="53" t="s">
        <v>68</v>
      </c>
      <c r="F14" s="20"/>
      <c r="G14" s="21">
        <f>G13/F13-1</f>
        <v>8.169934640522869E-2</v>
      </c>
      <c r="H14" s="21">
        <f t="shared" ref="H14:J14" si="3">H13/G13-1</f>
        <v>6.9486404833836835E-2</v>
      </c>
      <c r="I14" s="21">
        <f t="shared" si="3"/>
        <v>2.1186440677966045E-2</v>
      </c>
      <c r="J14" s="21">
        <f t="shared" si="3"/>
        <v>2.3513139695712226E-2</v>
      </c>
      <c r="K14" s="60">
        <v>0.04</v>
      </c>
      <c r="L14" s="60">
        <f>K14+0.2%</f>
        <v>4.2000000000000003E-2</v>
      </c>
      <c r="M14" s="60">
        <f t="shared" ref="M14:O14" si="4">L14+0.2%</f>
        <v>4.4000000000000004E-2</v>
      </c>
      <c r="N14" s="60">
        <f t="shared" si="4"/>
        <v>4.6000000000000006E-2</v>
      </c>
      <c r="O14" s="60">
        <f t="shared" si="4"/>
        <v>4.8000000000000008E-2</v>
      </c>
      <c r="P14" s="91"/>
    </row>
    <row r="15" spans="2:16">
      <c r="B15" s="89"/>
      <c r="C15" s="12"/>
      <c r="D15" s="12"/>
      <c r="E15" s="54"/>
      <c r="F15" s="12"/>
      <c r="G15" s="12"/>
      <c r="H15" s="12"/>
      <c r="I15" s="12"/>
      <c r="J15" s="12"/>
      <c r="K15" s="19"/>
      <c r="L15" s="19"/>
      <c r="M15" s="19"/>
      <c r="N15" s="19"/>
      <c r="O15" s="19"/>
      <c r="P15" s="91"/>
    </row>
    <row r="16" spans="2:16">
      <c r="B16" s="89"/>
      <c r="C16" s="74" t="s">
        <v>69</v>
      </c>
      <c r="D16" s="74"/>
      <c r="E16" s="103" t="s">
        <v>66</v>
      </c>
      <c r="F16" s="74">
        <v>339</v>
      </c>
      <c r="G16" s="74">
        <v>372</v>
      </c>
      <c r="H16" s="74">
        <v>390</v>
      </c>
      <c r="I16" s="74">
        <v>391</v>
      </c>
      <c r="J16" s="74">
        <v>394</v>
      </c>
      <c r="K16" s="66">
        <f>K17*K$13</f>
        <v>400.19200000000001</v>
      </c>
      <c r="L16" s="66">
        <f t="shared" ref="L16:O16" si="5">L17*L$13</f>
        <v>417.00006400000007</v>
      </c>
      <c r="M16" s="66">
        <f t="shared" si="5"/>
        <v>435.34806681600008</v>
      </c>
      <c r="N16" s="66">
        <f t="shared" si="5"/>
        <v>455.37407788953612</v>
      </c>
      <c r="O16" s="66">
        <f t="shared" si="5"/>
        <v>477.23203362823381</v>
      </c>
      <c r="P16" s="91"/>
    </row>
    <row r="17" spans="2:17">
      <c r="B17" s="89"/>
      <c r="C17" s="12" t="s">
        <v>70</v>
      </c>
      <c r="D17" s="12"/>
      <c r="E17" s="54" t="s">
        <v>68</v>
      </c>
      <c r="F17" s="20"/>
      <c r="G17" s="21">
        <f>G16/G13</f>
        <v>0.5619335347432024</v>
      </c>
      <c r="H17" s="21">
        <f>H16/H13</f>
        <v>0.55084745762711862</v>
      </c>
      <c r="I17" s="21">
        <f t="shared" ref="I17:J17" si="6">I16/I13</f>
        <v>0.54080221300138309</v>
      </c>
      <c r="J17" s="21">
        <f t="shared" si="6"/>
        <v>0.53243243243243243</v>
      </c>
      <c r="K17" s="60">
        <v>0.52</v>
      </c>
      <c r="L17" s="60">
        <v>0.52</v>
      </c>
      <c r="M17" s="60">
        <v>0.52</v>
      </c>
      <c r="N17" s="60">
        <v>0.52</v>
      </c>
      <c r="O17" s="60">
        <v>0.52</v>
      </c>
      <c r="P17" s="91"/>
      <c r="Q17" s="74"/>
    </row>
    <row r="18" spans="2:17">
      <c r="B18" s="89"/>
      <c r="C18" s="74"/>
      <c r="D18" s="74"/>
      <c r="E18" s="103"/>
      <c r="F18" s="74"/>
      <c r="G18" s="74"/>
      <c r="H18" s="74"/>
      <c r="I18" s="74"/>
      <c r="J18" s="74"/>
      <c r="K18" s="18"/>
      <c r="L18" s="18"/>
      <c r="M18" s="18"/>
      <c r="N18" s="18"/>
      <c r="O18" s="18"/>
      <c r="P18" s="91"/>
      <c r="Q18" s="74"/>
    </row>
    <row r="19" spans="2:17">
      <c r="B19" s="89"/>
      <c r="C19" s="74" t="s">
        <v>71</v>
      </c>
      <c r="D19" s="74"/>
      <c r="E19" s="103" t="s">
        <v>66</v>
      </c>
      <c r="F19" s="74">
        <v>127</v>
      </c>
      <c r="G19" s="74">
        <v>134</v>
      </c>
      <c r="H19" s="74">
        <v>151</v>
      </c>
      <c r="I19" s="74">
        <v>157</v>
      </c>
      <c r="J19" s="74">
        <v>165</v>
      </c>
      <c r="K19" s="66">
        <f>K20*K$13</f>
        <v>167.61902618562019</v>
      </c>
      <c r="L19" s="66">
        <f t="shared" ref="L19:O19" si="7">L20*L$13</f>
        <v>174.65902528541625</v>
      </c>
      <c r="M19" s="66">
        <f t="shared" si="7"/>
        <v>182.34402239797458</v>
      </c>
      <c r="N19" s="66">
        <f t="shared" si="7"/>
        <v>190.73184742828141</v>
      </c>
      <c r="O19" s="66">
        <f t="shared" si="7"/>
        <v>199.88697610483891</v>
      </c>
      <c r="P19" s="91"/>
      <c r="Q19" s="74"/>
    </row>
    <row r="20" spans="2:17">
      <c r="B20" s="89"/>
      <c r="C20" s="12" t="s">
        <v>72</v>
      </c>
      <c r="D20" s="12"/>
      <c r="E20" s="54" t="s">
        <v>68</v>
      </c>
      <c r="F20" s="20"/>
      <c r="G20" s="21">
        <f>G19/G13</f>
        <v>0.20241691842900303</v>
      </c>
      <c r="H20" s="21">
        <f t="shared" ref="H20:J20" si="8">H19/H13</f>
        <v>0.2132768361581921</v>
      </c>
      <c r="I20" s="21">
        <f t="shared" si="8"/>
        <v>0.21715076071922546</v>
      </c>
      <c r="J20" s="21">
        <f t="shared" si="8"/>
        <v>0.22297297297297297</v>
      </c>
      <c r="K20" s="60">
        <f>AVERAGE($H$20:$J$20)</f>
        <v>0.21780018995013017</v>
      </c>
      <c r="L20" s="60">
        <f t="shared" ref="L20:O20" si="9">AVERAGE($H$20:$J$20)</f>
        <v>0.21780018995013017</v>
      </c>
      <c r="M20" s="60">
        <f t="shared" si="9"/>
        <v>0.21780018995013017</v>
      </c>
      <c r="N20" s="60">
        <f t="shared" si="9"/>
        <v>0.21780018995013017</v>
      </c>
      <c r="O20" s="60">
        <f t="shared" si="9"/>
        <v>0.21780018995013017</v>
      </c>
      <c r="P20" s="91"/>
      <c r="Q20" s="74"/>
    </row>
    <row r="21" spans="2:17">
      <c r="B21" s="89"/>
      <c r="C21" s="74"/>
      <c r="D21" s="74"/>
      <c r="E21" s="211"/>
      <c r="F21" s="74"/>
      <c r="G21" s="74"/>
      <c r="H21" s="74"/>
      <c r="I21" s="74"/>
      <c r="J21" s="74"/>
      <c r="K21" s="74"/>
      <c r="L21" s="74"/>
      <c r="M21" s="74"/>
      <c r="N21" s="74"/>
      <c r="O21" s="74"/>
      <c r="P21" s="91"/>
      <c r="Q21" s="74"/>
    </row>
    <row r="22" spans="2:17">
      <c r="B22" s="89"/>
      <c r="C22" s="57" t="s">
        <v>73</v>
      </c>
      <c r="D22" s="209"/>
      <c r="E22" s="210" t="s">
        <v>66</v>
      </c>
      <c r="F22" s="57">
        <f t="shared" ref="F22:L22" si="10">F13-F16-F19</f>
        <v>146</v>
      </c>
      <c r="G22" s="57">
        <f t="shared" si="10"/>
        <v>156</v>
      </c>
      <c r="H22" s="57">
        <f t="shared" si="10"/>
        <v>167</v>
      </c>
      <c r="I22" s="57">
        <f t="shared" si="10"/>
        <v>175</v>
      </c>
      <c r="J22" s="57">
        <f t="shared" si="10"/>
        <v>181</v>
      </c>
      <c r="K22" s="58">
        <f t="shared" si="10"/>
        <v>201.78897381437983</v>
      </c>
      <c r="L22" s="58">
        <f t="shared" si="10"/>
        <v>210.26411071458375</v>
      </c>
      <c r="M22" s="58">
        <f>M13-M16-M19</f>
        <v>219.51573158602548</v>
      </c>
      <c r="N22" s="58">
        <f t="shared" ref="N22:O22" si="11">N13-N16-N19</f>
        <v>229.61345523898262</v>
      </c>
      <c r="O22" s="58">
        <f t="shared" si="11"/>
        <v>240.63490109045384</v>
      </c>
      <c r="P22" s="91"/>
      <c r="Q22" s="74"/>
    </row>
    <row r="23" spans="2:17">
      <c r="B23" s="89"/>
      <c r="C23" s="12" t="s">
        <v>70</v>
      </c>
      <c r="D23" s="12"/>
      <c r="E23" s="54" t="s">
        <v>68</v>
      </c>
      <c r="F23" s="21">
        <f>F22/F13</f>
        <v>0.23856209150326799</v>
      </c>
      <c r="G23" s="21">
        <f>G22/G13</f>
        <v>0.23564954682779457</v>
      </c>
      <c r="H23" s="21">
        <f t="shared" ref="H23:M23" si="12">H22/H13</f>
        <v>0.23587570621468926</v>
      </c>
      <c r="I23" s="21">
        <f t="shared" si="12"/>
        <v>0.24204702627939143</v>
      </c>
      <c r="J23" s="21">
        <f t="shared" si="12"/>
        <v>0.24459459459459459</v>
      </c>
      <c r="K23" s="21">
        <f t="shared" si="12"/>
        <v>0.26219981004986981</v>
      </c>
      <c r="L23" s="21">
        <f t="shared" si="12"/>
        <v>0.26219981004986975</v>
      </c>
      <c r="M23" s="21">
        <f t="shared" si="12"/>
        <v>0.26219981004986981</v>
      </c>
      <c r="N23" s="21">
        <f t="shared" ref="N23:O23" si="13">N22/N13</f>
        <v>0.26219981004986975</v>
      </c>
      <c r="O23" s="21">
        <f t="shared" si="13"/>
        <v>0.26219981004986981</v>
      </c>
      <c r="P23" s="91"/>
      <c r="Q23" s="74"/>
    </row>
    <row r="24" spans="2:17">
      <c r="B24" s="89"/>
      <c r="C24" s="74"/>
      <c r="D24" s="74"/>
      <c r="E24" s="103"/>
      <c r="F24" s="74"/>
      <c r="G24" s="74"/>
      <c r="H24" s="74"/>
      <c r="I24" s="74"/>
      <c r="J24" s="74"/>
      <c r="K24" s="74"/>
      <c r="L24" s="74"/>
      <c r="M24" s="74"/>
      <c r="N24" s="74"/>
      <c r="O24" s="74"/>
      <c r="P24" s="91"/>
      <c r="Q24" s="74"/>
    </row>
    <row r="25" spans="2:17">
      <c r="B25" s="89"/>
      <c r="C25" s="74" t="s">
        <v>74</v>
      </c>
      <c r="D25" s="74"/>
      <c r="E25" s="103" t="s">
        <v>66</v>
      </c>
      <c r="F25" s="74">
        <v>32</v>
      </c>
      <c r="G25" s="74">
        <v>32</v>
      </c>
      <c r="H25" s="74">
        <v>36</v>
      </c>
      <c r="I25" s="74">
        <v>41</v>
      </c>
      <c r="J25" s="74">
        <v>74</v>
      </c>
      <c r="K25" s="66">
        <f>K26*K$13</f>
        <v>39.99200404189007</v>
      </c>
      <c r="L25" s="66">
        <f t="shared" ref="L25:O25" si="14">L26*L$13</f>
        <v>41.671668211649454</v>
      </c>
      <c r="M25" s="66">
        <f t="shared" si="14"/>
        <v>43.505221612962032</v>
      </c>
      <c r="N25" s="66">
        <f t="shared" si="14"/>
        <v>45.506461807158288</v>
      </c>
      <c r="O25" s="66">
        <f t="shared" si="14"/>
        <v>47.690771973901882</v>
      </c>
      <c r="P25" s="91"/>
      <c r="Q25" s="74"/>
    </row>
    <row r="26" spans="2:17">
      <c r="B26" s="89"/>
      <c r="C26" s="12" t="s">
        <v>72</v>
      </c>
      <c r="D26" s="12"/>
      <c r="E26" s="54" t="s">
        <v>68</v>
      </c>
      <c r="F26" s="20"/>
      <c r="G26" s="21">
        <f>G25/G13</f>
        <v>4.8338368580060423E-2</v>
      </c>
      <c r="H26" s="21">
        <f t="shared" ref="H26:J26" si="15">H25/H13</f>
        <v>5.0847457627118647E-2</v>
      </c>
      <c r="I26" s="21">
        <f t="shared" si="15"/>
        <v>5.6708160442600276E-2</v>
      </c>
      <c r="J26" s="21">
        <f t="shared" si="15"/>
        <v>0.1</v>
      </c>
      <c r="K26" s="60">
        <f>AVERAGE($G$26:$I$26)</f>
        <v>5.196466221659312E-2</v>
      </c>
      <c r="L26" s="60">
        <f t="shared" ref="L26:O26" si="16">AVERAGE($G$26:$I$26)</f>
        <v>5.196466221659312E-2</v>
      </c>
      <c r="M26" s="60">
        <f t="shared" si="16"/>
        <v>5.196466221659312E-2</v>
      </c>
      <c r="N26" s="60">
        <f t="shared" si="16"/>
        <v>5.196466221659312E-2</v>
      </c>
      <c r="O26" s="60">
        <f t="shared" si="16"/>
        <v>5.196466221659312E-2</v>
      </c>
      <c r="P26" s="91"/>
      <c r="Q26" s="74"/>
    </row>
    <row r="27" spans="2:17">
      <c r="B27" s="89"/>
      <c r="C27" s="74"/>
      <c r="D27" s="74"/>
      <c r="E27" s="103"/>
      <c r="F27" s="74"/>
      <c r="G27" s="74"/>
      <c r="H27" s="74"/>
      <c r="I27" s="74"/>
      <c r="J27" s="65" t="s">
        <v>75</v>
      </c>
      <c r="K27" s="18"/>
      <c r="L27" s="18"/>
      <c r="M27" s="18"/>
      <c r="N27" s="18"/>
      <c r="O27" s="18"/>
      <c r="P27" s="91"/>
      <c r="Q27" s="74"/>
    </row>
    <row r="28" spans="2:17">
      <c r="B28" s="89"/>
      <c r="C28" s="74" t="s">
        <v>76</v>
      </c>
      <c r="D28" s="74"/>
      <c r="E28" s="103" t="s">
        <v>66</v>
      </c>
      <c r="F28" s="74">
        <v>15</v>
      </c>
      <c r="G28" s="74">
        <v>16</v>
      </c>
      <c r="H28" s="74">
        <v>16</v>
      </c>
      <c r="I28" s="74">
        <v>16</v>
      </c>
      <c r="J28" s="74">
        <v>17</v>
      </c>
      <c r="K28" s="66">
        <f>K29*K$13</f>
        <v>16.9312</v>
      </c>
      <c r="L28" s="66">
        <f t="shared" ref="L28:O28" si="17">L29*L$13</f>
        <v>16.840387200000002</v>
      </c>
      <c r="M28" s="66">
        <f t="shared" si="17"/>
        <v>16.744156416000003</v>
      </c>
      <c r="N28" s="66">
        <f t="shared" si="17"/>
        <v>17.514387611136005</v>
      </c>
      <c r="O28" s="66">
        <f t="shared" si="17"/>
        <v>18.355078216470531</v>
      </c>
      <c r="P28" s="91"/>
      <c r="Q28" s="74" t="s">
        <v>77</v>
      </c>
    </row>
    <row r="29" spans="2:17">
      <c r="B29" s="89"/>
      <c r="C29" s="12" t="s">
        <v>72</v>
      </c>
      <c r="D29" s="12"/>
      <c r="E29" s="54" t="s">
        <v>68</v>
      </c>
      <c r="F29" s="20"/>
      <c r="G29" s="21">
        <f>G28/G13</f>
        <v>2.4169184290030211E-2</v>
      </c>
      <c r="H29" s="21">
        <f t="shared" ref="H29:J29" si="18">H28/H13</f>
        <v>2.2598870056497175E-2</v>
      </c>
      <c r="I29" s="21">
        <f t="shared" si="18"/>
        <v>2.2130013831258646E-2</v>
      </c>
      <c r="J29" s="21">
        <f t="shared" si="18"/>
        <v>2.2972972972972974E-2</v>
      </c>
      <c r="K29" s="60">
        <f>2.2%</f>
        <v>2.2000000000000002E-2</v>
      </c>
      <c r="L29" s="60">
        <f>K29-0.1%</f>
        <v>2.1000000000000001E-2</v>
      </c>
      <c r="M29" s="60">
        <f t="shared" ref="M29:O29" si="19">L29-0.1%</f>
        <v>0.02</v>
      </c>
      <c r="N29" s="60">
        <f>M29</f>
        <v>0.02</v>
      </c>
      <c r="O29" s="60">
        <f>N29</f>
        <v>0.02</v>
      </c>
      <c r="P29" s="91"/>
      <c r="Q29" s="74"/>
    </row>
    <row r="30" spans="2:17">
      <c r="B30" s="89"/>
      <c r="C30" s="74"/>
      <c r="D30" s="74"/>
      <c r="E30" s="211"/>
      <c r="F30" s="74"/>
      <c r="G30" s="74"/>
      <c r="H30" s="74"/>
      <c r="I30" s="74"/>
      <c r="J30" s="74"/>
      <c r="K30" s="74"/>
      <c r="L30" s="74"/>
      <c r="M30" s="74"/>
      <c r="N30" s="74"/>
      <c r="O30" s="74"/>
      <c r="P30" s="91"/>
      <c r="Q30" s="74"/>
    </row>
    <row r="31" spans="2:17">
      <c r="B31" s="89"/>
      <c r="C31" s="57" t="s">
        <v>22</v>
      </c>
      <c r="D31" s="57"/>
      <c r="E31" s="210" t="s">
        <v>66</v>
      </c>
      <c r="F31" s="57">
        <f>F22-F25-F28</f>
        <v>99</v>
      </c>
      <c r="G31" s="57">
        <f t="shared" ref="G31:J31" si="20">G22-G25-G28</f>
        <v>108</v>
      </c>
      <c r="H31" s="57">
        <f t="shared" si="20"/>
        <v>115</v>
      </c>
      <c r="I31" s="57">
        <f t="shared" si="20"/>
        <v>118</v>
      </c>
      <c r="J31" s="57">
        <f t="shared" si="20"/>
        <v>90</v>
      </c>
      <c r="K31" s="58">
        <f t="shared" ref="K31:O31" si="21">K22-K25-K28</f>
        <v>144.86576977248978</v>
      </c>
      <c r="L31" s="58">
        <f t="shared" si="21"/>
        <v>151.75205530293428</v>
      </c>
      <c r="M31" s="58">
        <f t="shared" si="21"/>
        <v>159.26635355706344</v>
      </c>
      <c r="N31" s="58">
        <f t="shared" si="21"/>
        <v>166.59260582068831</v>
      </c>
      <c r="O31" s="58">
        <f t="shared" si="21"/>
        <v>174.58905090008142</v>
      </c>
      <c r="P31" s="91"/>
      <c r="Q31" s="74"/>
    </row>
    <row r="32" spans="2:17">
      <c r="B32" s="89"/>
      <c r="C32" s="12" t="s">
        <v>78</v>
      </c>
      <c r="D32"/>
      <c r="E32" s="54" t="s">
        <v>68</v>
      </c>
      <c r="F32" s="22">
        <f t="shared" ref="F32:M32" si="22">F31/F13</f>
        <v>0.16176470588235295</v>
      </c>
      <c r="G32" s="22">
        <f t="shared" si="22"/>
        <v>0.16314199395770393</v>
      </c>
      <c r="H32" s="22">
        <f t="shared" si="22"/>
        <v>0.16242937853107345</v>
      </c>
      <c r="I32" s="22">
        <f t="shared" si="22"/>
        <v>0.16320885200553251</v>
      </c>
      <c r="J32" s="22">
        <f t="shared" si="22"/>
        <v>0.12162162162162163</v>
      </c>
      <c r="K32" s="22">
        <f t="shared" si="22"/>
        <v>0.18823514783327674</v>
      </c>
      <c r="L32" s="22">
        <f t="shared" si="22"/>
        <v>0.18923514783327663</v>
      </c>
      <c r="M32" s="22">
        <f t="shared" si="22"/>
        <v>0.19023514783327669</v>
      </c>
      <c r="N32" s="22">
        <f t="shared" ref="N32:O32" si="23">N31/N13</f>
        <v>0.19023514783327661</v>
      </c>
      <c r="O32" s="22">
        <f t="shared" si="23"/>
        <v>0.19023514783327669</v>
      </c>
      <c r="P32" s="91"/>
      <c r="Q32" s="74"/>
    </row>
    <row r="33" spans="2:21">
      <c r="B33" s="89"/>
      <c r="C33" s="12"/>
      <c r="D33"/>
      <c r="E33" s="55"/>
      <c r="F33" s="22"/>
      <c r="G33" s="22"/>
      <c r="H33" s="22"/>
      <c r="I33" s="22"/>
      <c r="J33" s="22"/>
      <c r="K33" s="22"/>
      <c r="L33" s="22"/>
      <c r="M33" s="22"/>
      <c r="N33" s="22"/>
      <c r="O33" s="22"/>
      <c r="P33" s="91"/>
      <c r="Q33" s="74"/>
      <c r="R33" s="74"/>
      <c r="S33" s="74"/>
      <c r="T33" s="74"/>
      <c r="U33" s="74"/>
    </row>
    <row r="34" spans="2:21">
      <c r="B34" s="89"/>
      <c r="C34" s="74" t="s">
        <v>79</v>
      </c>
      <c r="D34" s="74"/>
      <c r="E34" s="103" t="s">
        <v>66</v>
      </c>
      <c r="F34" s="75">
        <v>12</v>
      </c>
      <c r="G34" s="75">
        <v>15</v>
      </c>
      <c r="H34" s="75">
        <v>17</v>
      </c>
      <c r="I34" s="75">
        <v>18</v>
      </c>
      <c r="J34" s="75">
        <v>19</v>
      </c>
      <c r="K34" s="28">
        <f>(((J34-I34)/I34)+1)*J34</f>
        <v>20.055555555555557</v>
      </c>
      <c r="L34" s="28">
        <f t="shared" ref="L34:O34" si="24">(((K34-J34)/J34)+1)*K34</f>
        <v>21.169753086419757</v>
      </c>
      <c r="M34" s="28">
        <f t="shared" si="24"/>
        <v>22.345850480109743</v>
      </c>
      <c r="N34" s="28">
        <f t="shared" si="24"/>
        <v>23.587286617893618</v>
      </c>
      <c r="O34" s="28">
        <f t="shared" si="24"/>
        <v>24.897691429998819</v>
      </c>
      <c r="P34" s="91"/>
      <c r="Q34" s="74"/>
      <c r="R34" s="74"/>
      <c r="S34" s="74"/>
      <c r="T34" s="74"/>
      <c r="U34" s="74"/>
    </row>
    <row r="35" spans="2:21">
      <c r="B35" s="89"/>
      <c r="C35" s="74"/>
      <c r="D35" s="74"/>
      <c r="E35" s="211"/>
      <c r="F35" s="74"/>
      <c r="G35" s="74"/>
      <c r="H35" s="74"/>
      <c r="I35" s="74"/>
      <c r="J35" s="74"/>
      <c r="K35" s="48"/>
      <c r="L35" s="49"/>
      <c r="M35" s="49"/>
      <c r="N35" s="49"/>
      <c r="O35" s="49"/>
      <c r="P35" s="91"/>
      <c r="Q35" s="74"/>
      <c r="R35" s="74"/>
      <c r="S35" s="74"/>
      <c r="T35" s="74"/>
      <c r="U35" s="74"/>
    </row>
    <row r="36" spans="2:21">
      <c r="B36" s="89"/>
      <c r="C36" s="57" t="s">
        <v>80</v>
      </c>
      <c r="D36" s="57"/>
      <c r="E36" s="210" t="s">
        <v>66</v>
      </c>
      <c r="F36" s="58">
        <f>F31-F34</f>
        <v>87</v>
      </c>
      <c r="G36" s="58">
        <f t="shared" ref="G36:J36" si="25">G31-G34</f>
        <v>93</v>
      </c>
      <c r="H36" s="58">
        <f t="shared" si="25"/>
        <v>98</v>
      </c>
      <c r="I36" s="58">
        <f t="shared" si="25"/>
        <v>100</v>
      </c>
      <c r="J36" s="58">
        <f t="shared" si="25"/>
        <v>71</v>
      </c>
      <c r="K36" s="58">
        <f>K31-K34</f>
        <v>124.81021421693423</v>
      </c>
      <c r="L36" s="58">
        <f t="shared" ref="L36:O36" si="26">L31-L34</f>
        <v>130.58230221651453</v>
      </c>
      <c r="M36" s="58">
        <f t="shared" si="26"/>
        <v>136.92050307695371</v>
      </c>
      <c r="N36" s="58">
        <f t="shared" si="26"/>
        <v>143.00531920279468</v>
      </c>
      <c r="O36" s="58">
        <f t="shared" si="26"/>
        <v>149.6913594700826</v>
      </c>
      <c r="P36" s="91"/>
      <c r="Q36" s="74"/>
      <c r="R36" s="74"/>
      <c r="S36" s="74"/>
      <c r="T36" s="74"/>
      <c r="U36" s="74"/>
    </row>
    <row r="37" spans="2:21">
      <c r="B37" s="89"/>
      <c r="C37" s="12" t="s">
        <v>81</v>
      </c>
      <c r="D37"/>
      <c r="E37" s="54" t="s">
        <v>68</v>
      </c>
      <c r="F37" s="22">
        <f t="shared" ref="F37:J37" si="27">F36/F13</f>
        <v>0.14215686274509803</v>
      </c>
      <c r="G37" s="22">
        <f t="shared" si="27"/>
        <v>0.1404833836858006</v>
      </c>
      <c r="H37" s="22">
        <f t="shared" si="27"/>
        <v>0.1384180790960452</v>
      </c>
      <c r="I37" s="22">
        <f t="shared" si="27"/>
        <v>0.13831258644536654</v>
      </c>
      <c r="J37" s="22">
        <f t="shared" si="27"/>
        <v>9.5945945945945951E-2</v>
      </c>
      <c r="K37" s="22">
        <f t="shared" ref="K37:O37" si="28">K36/K13</f>
        <v>0.16217543427356318</v>
      </c>
      <c r="L37" s="22">
        <f t="shared" si="28"/>
        <v>0.16283641901932072</v>
      </c>
      <c r="M37" s="22">
        <f t="shared" si="28"/>
        <v>0.16354422363866394</v>
      </c>
      <c r="N37" s="22">
        <f t="shared" si="28"/>
        <v>0.16330039322855799</v>
      </c>
      <c r="O37" s="22">
        <f t="shared" si="28"/>
        <v>0.16310620712665808</v>
      </c>
      <c r="P37" s="91"/>
      <c r="Q37" s="74"/>
      <c r="R37" s="74"/>
      <c r="S37" s="74"/>
      <c r="T37" s="74"/>
      <c r="U37" s="74"/>
    </row>
    <row r="38" spans="2:21">
      <c r="B38" s="89"/>
      <c r="C38" s="74"/>
      <c r="D38" s="74"/>
      <c r="E38" s="103"/>
      <c r="F38" s="74"/>
      <c r="G38" s="74"/>
      <c r="H38" s="74"/>
      <c r="I38" s="74"/>
      <c r="J38" s="74"/>
      <c r="K38" s="48"/>
      <c r="L38" s="49"/>
      <c r="M38" s="49"/>
      <c r="N38" s="49"/>
      <c r="O38" s="49"/>
      <c r="P38" s="91"/>
      <c r="Q38" s="74"/>
      <c r="R38" s="74"/>
      <c r="S38" s="74"/>
      <c r="T38" s="74"/>
      <c r="U38" s="74"/>
    </row>
    <row r="39" spans="2:21">
      <c r="B39" s="89"/>
      <c r="C39" s="74" t="s">
        <v>82</v>
      </c>
      <c r="D39" s="74"/>
      <c r="E39" s="103" t="s">
        <v>66</v>
      </c>
      <c r="F39" s="74"/>
      <c r="G39" s="74"/>
      <c r="H39" s="74"/>
      <c r="I39" s="74"/>
      <c r="J39" s="74"/>
      <c r="K39" s="75">
        <f>($E$54+$E$55)*$E$53</f>
        <v>23.512499999999999</v>
      </c>
      <c r="L39" s="75">
        <f t="shared" ref="L39:O39" si="29">($E$54+$E$55)*$E$53</f>
        <v>23.512499999999999</v>
      </c>
      <c r="M39" s="75">
        <f t="shared" si="29"/>
        <v>23.512499999999999</v>
      </c>
      <c r="N39" s="75">
        <f t="shared" si="29"/>
        <v>23.512499999999999</v>
      </c>
      <c r="O39" s="75">
        <f t="shared" si="29"/>
        <v>23.512499999999999</v>
      </c>
      <c r="P39" s="91"/>
      <c r="Q39" s="74"/>
      <c r="R39" s="74"/>
      <c r="S39" s="74"/>
      <c r="T39" s="74"/>
      <c r="U39" s="74"/>
    </row>
    <row r="40" spans="2:21">
      <c r="B40" s="89"/>
      <c r="C40" s="74"/>
      <c r="D40" s="74"/>
      <c r="E40" s="103"/>
      <c r="F40" s="74"/>
      <c r="G40" s="74"/>
      <c r="H40" s="74"/>
      <c r="I40" s="74"/>
      <c r="J40" s="74"/>
      <c r="K40" s="75"/>
      <c r="L40" s="75"/>
      <c r="M40" s="75"/>
      <c r="N40" s="75"/>
      <c r="O40" s="75"/>
      <c r="P40" s="91"/>
      <c r="Q40" s="74"/>
      <c r="R40" s="74"/>
      <c r="S40" s="74"/>
      <c r="T40" s="74"/>
      <c r="U40" s="74"/>
    </row>
    <row r="41" spans="2:21">
      <c r="B41" s="89"/>
      <c r="C41" s="57" t="s">
        <v>83</v>
      </c>
      <c r="D41" s="57"/>
      <c r="E41" s="210" t="s">
        <v>66</v>
      </c>
      <c r="F41" s="58"/>
      <c r="G41" s="58"/>
      <c r="H41" s="58"/>
      <c r="I41" s="58"/>
      <c r="J41" s="58"/>
      <c r="K41" s="58">
        <f t="shared" ref="K41:O41" si="30">K36-K39</f>
        <v>101.29771421693422</v>
      </c>
      <c r="L41" s="58">
        <f t="shared" si="30"/>
        <v>107.06980221651453</v>
      </c>
      <c r="M41" s="58">
        <f t="shared" si="30"/>
        <v>113.4080030769537</v>
      </c>
      <c r="N41" s="58">
        <f t="shared" si="30"/>
        <v>119.49281920279468</v>
      </c>
      <c r="O41" s="58">
        <f t="shared" si="30"/>
        <v>126.1788594700826</v>
      </c>
      <c r="P41" s="91"/>
      <c r="Q41" s="74"/>
      <c r="R41" s="74"/>
      <c r="S41" s="74"/>
      <c r="T41" s="74"/>
      <c r="U41" s="74"/>
    </row>
    <row r="42" spans="2:21">
      <c r="B42" s="89"/>
      <c r="C42" s="74"/>
      <c r="D42" s="74"/>
      <c r="E42" s="103"/>
      <c r="F42" s="74"/>
      <c r="G42" s="74"/>
      <c r="H42" s="74"/>
      <c r="I42" s="74"/>
      <c r="J42" s="74"/>
      <c r="K42" s="74"/>
      <c r="L42" s="74"/>
      <c r="M42" s="74"/>
      <c r="N42" s="74"/>
      <c r="O42" s="74"/>
      <c r="P42" s="91"/>
      <c r="Q42" s="74"/>
      <c r="R42" s="74"/>
      <c r="S42" s="74"/>
      <c r="T42" s="74"/>
      <c r="U42" s="74"/>
    </row>
    <row r="43" spans="2:21">
      <c r="B43" s="89"/>
      <c r="C43" s="74"/>
      <c r="D43" s="62" t="s">
        <v>84</v>
      </c>
      <c r="E43" s="103"/>
      <c r="F43" s="74"/>
      <c r="G43" s="74"/>
      <c r="H43" s="74"/>
      <c r="I43" s="74"/>
      <c r="J43" s="74"/>
      <c r="K43" s="74"/>
      <c r="L43" s="74"/>
      <c r="M43" s="74"/>
      <c r="N43" s="74"/>
      <c r="O43" s="74"/>
      <c r="P43" s="91"/>
      <c r="Q43" s="74"/>
      <c r="R43" s="74"/>
      <c r="S43" s="74"/>
      <c r="T43" s="74"/>
      <c r="U43" s="74"/>
    </row>
    <row r="44" spans="2:21">
      <c r="B44" s="89"/>
      <c r="C44" s="102" t="s">
        <v>85</v>
      </c>
      <c r="D44" s="33">
        <v>0.15</v>
      </c>
      <c r="E44" s="103" t="s">
        <v>66</v>
      </c>
      <c r="F44" s="75"/>
      <c r="G44" s="75"/>
      <c r="H44" s="75"/>
      <c r="I44" s="75"/>
      <c r="J44" s="75"/>
      <c r="K44" s="75">
        <f>K41*$D44</f>
        <v>15.194657132540133</v>
      </c>
      <c r="L44" s="75">
        <f t="shared" ref="L44:O44" si="31">L41*$D44</f>
        <v>16.06047033247718</v>
      </c>
      <c r="M44" s="75">
        <f>M41*$D44</f>
        <v>17.011200461543055</v>
      </c>
      <c r="N44" s="75">
        <f t="shared" si="31"/>
        <v>17.923922880419202</v>
      </c>
      <c r="O44" s="75">
        <f t="shared" si="31"/>
        <v>18.926828920512389</v>
      </c>
      <c r="P44" s="91"/>
      <c r="Q44" s="74"/>
      <c r="R44" s="74"/>
      <c r="S44" s="74"/>
      <c r="T44" s="74"/>
      <c r="U44" s="74"/>
    </row>
    <row r="45" spans="2:21">
      <c r="B45" s="89"/>
      <c r="C45" s="74"/>
      <c r="D45" s="74"/>
      <c r="E45" s="211"/>
      <c r="F45" s="74"/>
      <c r="G45" s="74"/>
      <c r="H45" s="74"/>
      <c r="I45" s="74"/>
      <c r="J45" s="74"/>
      <c r="K45" s="74"/>
      <c r="L45" s="74"/>
      <c r="M45" s="74"/>
      <c r="N45" s="74"/>
      <c r="O45" s="74"/>
      <c r="P45" s="91"/>
      <c r="Q45" s="74"/>
      <c r="R45" s="74"/>
      <c r="S45" s="74"/>
      <c r="T45" s="74"/>
      <c r="U45" s="74" t="s">
        <v>86</v>
      </c>
    </row>
    <row r="46" spans="2:21" ht="17.100000000000001" thickBot="1">
      <c r="B46" s="89"/>
      <c r="C46" s="8" t="s">
        <v>87</v>
      </c>
      <c r="D46" s="194"/>
      <c r="E46" s="213" t="s">
        <v>66</v>
      </c>
      <c r="F46" s="14"/>
      <c r="G46" s="14"/>
      <c r="H46" s="14"/>
      <c r="I46" s="14"/>
      <c r="J46" s="14"/>
      <c r="K46" s="14">
        <f>K41-K44</f>
        <v>86.103057084394095</v>
      </c>
      <c r="L46" s="14">
        <f t="shared" ref="L46:M46" si="32">L41-L44</f>
        <v>91.009331884037351</v>
      </c>
      <c r="M46" s="14">
        <f t="shared" si="32"/>
        <v>96.39680261541065</v>
      </c>
      <c r="N46" s="14">
        <f t="shared" ref="N46:O46" si="33">N41-N44</f>
        <v>101.56889632237548</v>
      </c>
      <c r="O46" s="14">
        <f t="shared" si="33"/>
        <v>107.25203054957021</v>
      </c>
      <c r="P46" s="91"/>
      <c r="Q46" s="74"/>
      <c r="R46" s="74"/>
      <c r="S46" s="74"/>
      <c r="T46" s="74"/>
      <c r="U46" s="74"/>
    </row>
    <row r="47" spans="2:21">
      <c r="B47" s="89"/>
      <c r="C47" s="12" t="s">
        <v>88</v>
      </c>
      <c r="D47"/>
      <c r="E47" s="54" t="s">
        <v>68</v>
      </c>
      <c r="F47" s="22"/>
      <c r="G47" s="22"/>
      <c r="H47" s="22"/>
      <c r="I47" s="22"/>
      <c r="J47" s="22"/>
      <c r="K47" s="22">
        <f>K46/K13</f>
        <v>0.11188027167930625</v>
      </c>
      <c r="L47" s="22">
        <f>L46/L13</f>
        <v>0.11348883768924174</v>
      </c>
      <c r="M47" s="22">
        <f>M46/M13</f>
        <v>0.1151408290993961</v>
      </c>
      <c r="N47" s="22">
        <f>N46/N13</f>
        <v>0.11598338300768896</v>
      </c>
      <c r="O47" s="22">
        <f>O46/O13</f>
        <v>0.11686360503038329</v>
      </c>
      <c r="P47" s="91"/>
      <c r="Q47" s="74"/>
      <c r="R47" s="74"/>
      <c r="S47" s="74"/>
      <c r="T47" s="74"/>
      <c r="U47" s="74"/>
    </row>
    <row r="48" spans="2:21" ht="17.100000000000001" thickBot="1">
      <c r="B48" s="147"/>
      <c r="C48" s="152"/>
      <c r="D48" s="152"/>
      <c r="E48" s="161"/>
      <c r="F48" s="152"/>
      <c r="G48" s="152"/>
      <c r="H48" s="152"/>
      <c r="I48" s="152"/>
      <c r="J48" s="152"/>
      <c r="K48" s="152"/>
      <c r="L48" s="152"/>
      <c r="M48" s="152"/>
      <c r="N48" s="152"/>
      <c r="O48" s="152"/>
      <c r="P48" s="150"/>
      <c r="Q48" s="74"/>
      <c r="R48" s="74"/>
      <c r="S48" s="74"/>
      <c r="T48" s="74"/>
      <c r="U48" s="74"/>
    </row>
    <row r="50" spans="2:16" ht="17.100000000000001" thickBot="1">
      <c r="B50" s="74"/>
      <c r="C50" s="74"/>
      <c r="D50" s="74"/>
      <c r="E50" s="103"/>
      <c r="F50" s="74"/>
      <c r="G50" s="74"/>
      <c r="H50" s="74"/>
      <c r="I50" s="74"/>
      <c r="J50" s="74"/>
      <c r="K50" s="74"/>
      <c r="L50" s="74"/>
      <c r="M50" s="74"/>
      <c r="N50" s="74"/>
      <c r="O50" s="74"/>
      <c r="P50" s="74"/>
    </row>
    <row r="51" spans="2:16">
      <c r="B51" s="43" t="s">
        <v>89</v>
      </c>
      <c r="C51" s="44"/>
      <c r="D51" s="44"/>
      <c r="E51" s="56"/>
      <c r="F51" s="44"/>
      <c r="G51" s="45"/>
      <c r="H51" s="74"/>
      <c r="I51" s="10"/>
      <c r="J51" s="11" t="s">
        <v>90</v>
      </c>
      <c r="K51" s="74"/>
      <c r="L51" s="11">
        <f>J31*5.5</f>
        <v>495</v>
      </c>
      <c r="M51" s="11"/>
      <c r="N51" s="11"/>
      <c r="O51" s="11"/>
      <c r="P51" s="10"/>
    </row>
    <row r="52" spans="2:16">
      <c r="B52" s="24"/>
      <c r="C52" s="10"/>
      <c r="D52" s="10"/>
      <c r="E52" s="17"/>
      <c r="F52" s="10"/>
      <c r="G52" s="23"/>
      <c r="H52" s="74"/>
      <c r="I52" s="11"/>
      <c r="J52" s="11"/>
      <c r="K52" s="74"/>
      <c r="L52" s="83"/>
      <c r="M52" s="11"/>
      <c r="N52" s="74"/>
      <c r="O52" s="74"/>
      <c r="P52" s="74"/>
    </row>
    <row r="53" spans="2:16">
      <c r="B53" s="89"/>
      <c r="C53" s="68" t="s">
        <v>91</v>
      </c>
      <c r="D53" s="68"/>
      <c r="E53" s="73">
        <v>495</v>
      </c>
      <c r="F53" s="74"/>
      <c r="G53" s="91"/>
      <c r="H53" s="74"/>
      <c r="I53" s="74"/>
      <c r="J53" s="84"/>
      <c r="K53" s="84"/>
      <c r="L53" s="84"/>
      <c r="M53" s="84"/>
      <c r="N53" s="81"/>
      <c r="O53" s="74"/>
      <c r="P53" s="74"/>
    </row>
    <row r="54" spans="2:16">
      <c r="B54" s="61"/>
      <c r="C54" s="68" t="s">
        <v>92</v>
      </c>
      <c r="D54" s="68"/>
      <c r="E54" s="33">
        <v>2.75E-2</v>
      </c>
      <c r="F54" s="74"/>
      <c r="G54" s="91"/>
      <c r="H54" s="74"/>
      <c r="I54" s="74"/>
      <c r="J54" s="328"/>
      <c r="K54" s="328"/>
      <c r="L54" s="328"/>
      <c r="M54" s="328"/>
      <c r="N54" s="82"/>
      <c r="O54" s="74"/>
      <c r="P54" s="74"/>
    </row>
    <row r="55" spans="2:16">
      <c r="B55" s="61"/>
      <c r="C55" s="68" t="s">
        <v>93</v>
      </c>
      <c r="D55" s="68"/>
      <c r="E55" s="33">
        <v>0.02</v>
      </c>
      <c r="F55" s="74"/>
      <c r="G55" s="91"/>
      <c r="H55" s="74"/>
      <c r="I55" s="74"/>
      <c r="J55" s="80"/>
      <c r="K55" s="80"/>
      <c r="L55" s="80"/>
      <c r="M55" s="80"/>
      <c r="N55" s="82"/>
      <c r="O55" s="74"/>
      <c r="P55" s="74"/>
    </row>
    <row r="56" spans="2:16" ht="17.100000000000001" thickBot="1">
      <c r="B56" s="147"/>
      <c r="C56" s="69"/>
      <c r="D56" s="69"/>
      <c r="E56" s="70"/>
      <c r="F56" s="152"/>
      <c r="G56" s="150"/>
      <c r="H56" s="74"/>
      <c r="I56" s="74"/>
      <c r="J56" s="74"/>
      <c r="K56" s="74"/>
      <c r="L56" s="74"/>
      <c r="M56" s="74"/>
      <c r="N56" s="74"/>
      <c r="O56" s="74"/>
      <c r="P56" s="74"/>
    </row>
    <row r="57" spans="2:16">
      <c r="B57" s="74"/>
      <c r="C57" s="74"/>
      <c r="D57" s="74"/>
      <c r="E57" s="103"/>
      <c r="F57" s="17"/>
      <c r="G57" s="17"/>
      <c r="H57" s="17"/>
      <c r="I57" s="74"/>
      <c r="J57" s="74"/>
      <c r="K57" s="74"/>
      <c r="L57" s="74"/>
      <c r="M57" s="74"/>
      <c r="N57" s="74"/>
      <c r="O57" s="74"/>
      <c r="P57" s="74"/>
    </row>
    <row r="58" spans="2:16">
      <c r="B58" s="74"/>
      <c r="C58" s="74"/>
      <c r="D58" s="74"/>
      <c r="E58" s="74"/>
      <c r="F58" s="74"/>
      <c r="G58" s="74"/>
      <c r="H58" s="74"/>
      <c r="I58" s="74"/>
      <c r="J58" s="74"/>
      <c r="K58" s="74"/>
      <c r="L58" s="74"/>
      <c r="M58" s="74"/>
      <c r="N58" s="74"/>
      <c r="O58" s="74"/>
      <c r="P58" s="74"/>
    </row>
    <row r="59" spans="2:16">
      <c r="B59" s="74"/>
      <c r="C59" s="74"/>
      <c r="D59" s="74"/>
      <c r="E59" s="74"/>
      <c r="F59" s="74"/>
      <c r="G59" s="74"/>
      <c r="H59" s="74"/>
      <c r="I59" s="74"/>
      <c r="J59" s="74"/>
      <c r="K59" s="74"/>
      <c r="L59" s="74"/>
      <c r="M59" s="74"/>
      <c r="N59" s="74"/>
      <c r="O59" s="74"/>
      <c r="P59" s="74"/>
    </row>
    <row r="60" spans="2:16">
      <c r="B60" s="74"/>
      <c r="C60" s="74"/>
      <c r="D60" s="74"/>
      <c r="E60" s="74"/>
      <c r="F60" s="74"/>
      <c r="G60" s="74"/>
      <c r="H60" s="74"/>
      <c r="I60" s="74"/>
      <c r="J60" s="74"/>
      <c r="K60" s="74"/>
      <c r="L60" s="74"/>
      <c r="M60" s="74"/>
      <c r="N60" s="74"/>
      <c r="O60" s="74"/>
      <c r="P60" s="74"/>
    </row>
    <row r="61" spans="2:16">
      <c r="B61" s="74"/>
      <c r="C61" s="74"/>
      <c r="D61" s="74"/>
      <c r="E61" s="74"/>
      <c r="F61" s="74"/>
      <c r="G61" s="74"/>
      <c r="H61" s="74"/>
      <c r="I61" s="74"/>
      <c r="J61" s="74"/>
      <c r="K61" s="74"/>
      <c r="L61" s="74"/>
      <c r="M61" s="74"/>
      <c r="N61" s="74"/>
      <c r="O61" s="74"/>
      <c r="P61" s="74"/>
    </row>
    <row r="62" spans="2:16">
      <c r="B62" s="74"/>
      <c r="C62" s="74"/>
      <c r="D62" s="74"/>
      <c r="E62" s="74"/>
      <c r="F62" s="74"/>
      <c r="G62" s="74"/>
      <c r="H62" s="74"/>
      <c r="I62" s="74"/>
      <c r="J62" s="74"/>
      <c r="K62" s="74"/>
      <c r="L62" s="74"/>
      <c r="M62" s="74"/>
      <c r="N62" s="74"/>
      <c r="O62" s="74"/>
      <c r="P62" s="74"/>
    </row>
    <row r="63" spans="2:16">
      <c r="B63" s="74"/>
      <c r="C63" s="74"/>
      <c r="D63" s="74"/>
      <c r="E63" s="74"/>
      <c r="F63" s="74"/>
      <c r="G63" s="74"/>
      <c r="H63" s="74"/>
      <c r="I63" s="74"/>
      <c r="J63" s="74"/>
      <c r="K63" s="74"/>
      <c r="L63" s="74"/>
      <c r="M63" s="74"/>
      <c r="N63" s="74"/>
      <c r="O63" s="74"/>
      <c r="P63" s="74"/>
    </row>
    <row r="64" spans="2:16">
      <c r="B64" s="74"/>
      <c r="C64" s="74"/>
      <c r="D64" s="74"/>
      <c r="E64" s="103"/>
      <c r="F64" s="218"/>
      <c r="G64" s="218"/>
      <c r="H64" s="218"/>
      <c r="I64" s="74"/>
      <c r="J64" s="74"/>
      <c r="K64" s="74"/>
      <c r="L64" s="74"/>
      <c r="M64" s="74"/>
      <c r="N64" s="74"/>
      <c r="O64" s="74"/>
      <c r="P64" s="74"/>
    </row>
    <row r="65" spans="6:12">
      <c r="F65" s="218"/>
      <c r="G65" s="218"/>
      <c r="H65" s="218"/>
      <c r="I65" s="74"/>
      <c r="J65" s="74"/>
      <c r="K65" s="200"/>
      <c r="L65" s="219"/>
    </row>
    <row r="66" spans="6:12">
      <c r="F66" s="218"/>
      <c r="G66" s="218"/>
      <c r="H66" s="218"/>
      <c r="I66" s="218"/>
      <c r="J66" s="74"/>
      <c r="K66" s="201"/>
      <c r="L66" s="219"/>
    </row>
    <row r="67" spans="6:12">
      <c r="F67" s="74"/>
      <c r="G67" s="74"/>
      <c r="H67" s="74"/>
      <c r="I67" s="219"/>
      <c r="J67" s="74"/>
      <c r="K67" s="74"/>
      <c r="L67" s="193"/>
    </row>
    <row r="68" spans="6:12">
      <c r="F68" s="74"/>
      <c r="G68" s="74"/>
      <c r="H68" s="74"/>
      <c r="I68" s="74"/>
      <c r="J68" s="74"/>
      <c r="K68" s="74"/>
      <c r="L68" s="193"/>
    </row>
  </sheetData>
  <mergeCells count="1">
    <mergeCell ref="J54:M54"/>
  </mergeCells>
  <pageMargins left="0.7" right="0.7" top="0.75" bottom="0.75" header="0.3" footer="0.3"/>
  <pageSetup paperSize="9" orientation="portrait" horizontalDpi="300" r:id="rId1"/>
  <ignoredErrors>
    <ignoredError sqref="K32:M32" evalError="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00027-2A1C-4E5E-AA03-E08D13BE441A}">
  <sheetPr>
    <tabColor rgb="FF86D6AC"/>
  </sheetPr>
  <dimension ref="B1:N23"/>
  <sheetViews>
    <sheetView showGridLines="0" workbookViewId="0">
      <selection activeCell="C3" sqref="C3"/>
    </sheetView>
  </sheetViews>
  <sheetFormatPr defaultColWidth="8.7109375" defaultRowHeight="15.95"/>
  <cols>
    <col min="1" max="1" width="8.7109375" style="7"/>
    <col min="2" max="2" width="1.42578125" style="7" customWidth="1"/>
    <col min="3" max="3" width="31" style="7" customWidth="1"/>
    <col min="4" max="4" width="8.7109375" style="7" customWidth="1"/>
    <col min="5" max="13" width="8.7109375" style="7"/>
    <col min="14" max="14" width="1.28515625" style="7" customWidth="1"/>
    <col min="15" max="16384" width="8.7109375" style="7"/>
  </cols>
  <sheetData>
    <row r="1" spans="2:14" ht="17.100000000000001" thickBot="1">
      <c r="B1" s="74"/>
      <c r="C1" s="74"/>
      <c r="D1" s="74"/>
      <c r="E1" s="74"/>
      <c r="F1" s="74"/>
      <c r="G1" s="74"/>
      <c r="H1" s="74"/>
      <c r="I1" s="74"/>
      <c r="J1" s="74"/>
      <c r="K1" s="74"/>
      <c r="L1" s="74"/>
      <c r="M1" s="74"/>
      <c r="N1" s="74"/>
    </row>
    <row r="2" spans="2:14">
      <c r="B2" s="86"/>
      <c r="C2" s="87"/>
      <c r="D2" s="87"/>
      <c r="E2" s="87"/>
      <c r="F2" s="87"/>
      <c r="G2" s="87"/>
      <c r="H2" s="87"/>
      <c r="I2" s="87"/>
      <c r="J2" s="87"/>
      <c r="K2" s="87"/>
      <c r="L2" s="87"/>
      <c r="M2" s="87"/>
      <c r="N2" s="88"/>
    </row>
    <row r="3" spans="2:14">
      <c r="B3" s="40" t="s">
        <v>94</v>
      </c>
      <c r="C3" s="29"/>
      <c r="D3" s="29"/>
      <c r="E3" s="29"/>
      <c r="F3" s="29"/>
      <c r="G3" s="29"/>
      <c r="H3" s="29"/>
      <c r="I3" s="29"/>
      <c r="J3" s="29"/>
      <c r="K3" s="29"/>
      <c r="L3" s="29"/>
      <c r="M3" s="29"/>
      <c r="N3" s="91"/>
    </row>
    <row r="4" spans="2:14">
      <c r="B4" s="89"/>
      <c r="C4" s="74"/>
      <c r="D4" s="74"/>
      <c r="E4" s="74"/>
      <c r="F4" s="74"/>
      <c r="G4" s="74"/>
      <c r="H4" s="74"/>
      <c r="I4" s="74"/>
      <c r="J4" s="74"/>
      <c r="K4" s="74"/>
      <c r="L4" s="74"/>
      <c r="M4" s="74"/>
      <c r="N4" s="91"/>
    </row>
    <row r="5" spans="2:14">
      <c r="B5" s="89"/>
      <c r="C5" s="204"/>
      <c r="D5" s="25" t="s">
        <v>61</v>
      </c>
      <c r="E5" s="25"/>
      <c r="F5" s="25"/>
      <c r="G5" s="25"/>
      <c r="H5" s="26"/>
      <c r="I5" s="25" t="s">
        <v>62</v>
      </c>
      <c r="J5" s="25"/>
      <c r="K5" s="25"/>
      <c r="L5" s="25"/>
      <c r="M5" s="25"/>
      <c r="N5" s="91"/>
    </row>
    <row r="6" spans="2:14">
      <c r="B6" s="89"/>
      <c r="C6" s="42" t="s">
        <v>63</v>
      </c>
      <c r="D6" s="30">
        <v>2019</v>
      </c>
      <c r="E6" s="30">
        <v>2020</v>
      </c>
      <c r="F6" s="30">
        <v>2021</v>
      </c>
      <c r="G6" s="30">
        <v>2022</v>
      </c>
      <c r="H6" s="27">
        <v>2023</v>
      </c>
      <c r="I6" s="30">
        <v>2024</v>
      </c>
      <c r="J6" s="30">
        <v>2025</v>
      </c>
      <c r="K6" s="30">
        <v>2026</v>
      </c>
      <c r="L6" s="30">
        <v>2027</v>
      </c>
      <c r="M6" s="30">
        <v>2028</v>
      </c>
      <c r="N6" s="91"/>
    </row>
    <row r="7" spans="2:14">
      <c r="B7" s="89"/>
      <c r="C7" s="74"/>
      <c r="D7" s="13"/>
      <c r="E7" s="13"/>
      <c r="F7" s="13"/>
      <c r="G7" s="67"/>
      <c r="H7" s="13"/>
      <c r="I7" s="13"/>
      <c r="J7" s="13"/>
      <c r="K7" s="13"/>
      <c r="L7" s="13"/>
      <c r="M7" s="13"/>
      <c r="N7" s="91"/>
    </row>
    <row r="8" spans="2:14">
      <c r="B8" s="89"/>
      <c r="C8" s="74" t="s">
        <v>28</v>
      </c>
      <c r="D8" s="74">
        <v>70</v>
      </c>
      <c r="E8" s="74">
        <v>71</v>
      </c>
      <c r="F8" s="74">
        <v>72</v>
      </c>
      <c r="G8" s="74">
        <v>74</v>
      </c>
      <c r="H8" s="74">
        <v>76</v>
      </c>
      <c r="I8" s="76">
        <f>$I$19/365*'1. P&amp;L'!K16</f>
        <v>77.166381150032592</v>
      </c>
      <c r="J8" s="76">
        <f>$I$19/365*'1. P&amp;L'!L16</f>
        <v>80.407369158333964</v>
      </c>
      <c r="K8" s="76">
        <f>$I$19/365*'1. P&amp;L'!M16</f>
        <v>83.94529340130066</v>
      </c>
      <c r="L8" s="76">
        <f>$I$19/365*'1. P&amp;L'!N16</f>
        <v>87.8067768977605</v>
      </c>
      <c r="M8" s="76">
        <f>$I$19/365*'1. P&amp;L'!O16</f>
        <v>92.021502188852992</v>
      </c>
      <c r="N8" s="91"/>
    </row>
    <row r="9" spans="2:14">
      <c r="B9" s="89"/>
      <c r="C9" s="74" t="s">
        <v>95</v>
      </c>
      <c r="D9" s="74">
        <v>45</v>
      </c>
      <c r="E9" s="74">
        <v>45</v>
      </c>
      <c r="F9" s="74">
        <v>46</v>
      </c>
      <c r="G9" s="74">
        <v>47</v>
      </c>
      <c r="H9" s="74">
        <v>47</v>
      </c>
      <c r="I9" s="76">
        <f>$I$20/365*'1. P&amp;L'!K13</f>
        <v>51.562803369044026</v>
      </c>
      <c r="J9" s="76">
        <f>$I$20/365*'1. P&amp;L'!L13</f>
        <v>53.728441110543876</v>
      </c>
      <c r="K9" s="76">
        <f>$I$20/365*'1. P&amp;L'!M13</f>
        <v>56.092492519407813</v>
      </c>
      <c r="L9" s="76">
        <f>$I$20/365*'1. P&amp;L'!N13</f>
        <v>58.672747175300572</v>
      </c>
      <c r="M9" s="76">
        <f>$I$20/365*'1. P&amp;L'!O13</f>
        <v>61.489039039714996</v>
      </c>
      <c r="N9" s="91"/>
    </row>
    <row r="10" spans="2:14">
      <c r="B10" s="89"/>
      <c r="C10" s="74" t="s">
        <v>96</v>
      </c>
      <c r="D10" s="74">
        <v>28</v>
      </c>
      <c r="E10" s="74">
        <v>28</v>
      </c>
      <c r="F10" s="74">
        <v>29</v>
      </c>
      <c r="G10" s="74">
        <v>29</v>
      </c>
      <c r="H10" s="74">
        <v>29</v>
      </c>
      <c r="I10" s="76">
        <f>$I$21/365*'1. P&amp;L'!K16</f>
        <v>30.414313517387271</v>
      </c>
      <c r="J10" s="76">
        <f>$I$21/365*'1. P&amp;L'!L16</f>
        <v>31.691714685117542</v>
      </c>
      <c r="K10" s="76">
        <f>$I$21/365*'1. P&amp;L'!M16</f>
        <v>33.086150131262713</v>
      </c>
      <c r="L10" s="76">
        <f>$I$21/365*'1. P&amp;L'!N16</f>
        <v>34.608113037300804</v>
      </c>
      <c r="M10" s="76">
        <f>$I$21/365*'1. P&amp;L'!O16</f>
        <v>36.269302463091236</v>
      </c>
      <c r="N10" s="91"/>
    </row>
    <row r="11" spans="2:14">
      <c r="B11" s="89"/>
      <c r="C11" s="74"/>
      <c r="D11" s="74"/>
      <c r="E11" s="74"/>
      <c r="F11" s="74"/>
      <c r="G11" s="74"/>
      <c r="H11" s="74"/>
      <c r="I11" s="74"/>
      <c r="J11" s="74"/>
      <c r="K11" s="74"/>
      <c r="L11" s="74"/>
      <c r="M11" s="74"/>
      <c r="N11" s="91"/>
    </row>
    <row r="12" spans="2:14">
      <c r="B12" s="89"/>
      <c r="C12" s="74" t="s">
        <v>97</v>
      </c>
      <c r="D12" s="74">
        <f t="shared" ref="D12:K12" si="0">D8+D9-D10</f>
        <v>87</v>
      </c>
      <c r="E12" s="74">
        <f t="shared" si="0"/>
        <v>88</v>
      </c>
      <c r="F12" s="74">
        <f t="shared" si="0"/>
        <v>89</v>
      </c>
      <c r="G12" s="74">
        <f t="shared" si="0"/>
        <v>92</v>
      </c>
      <c r="H12" s="137">
        <f t="shared" si="0"/>
        <v>94</v>
      </c>
      <c r="I12" s="221">
        <f t="shared" si="0"/>
        <v>98.314871001689355</v>
      </c>
      <c r="J12" s="221">
        <f t="shared" si="0"/>
        <v>102.44409558376029</v>
      </c>
      <c r="K12" s="221">
        <f t="shared" si="0"/>
        <v>106.95163578944576</v>
      </c>
      <c r="L12" s="221">
        <f t="shared" ref="L12:M12" si="1">L8+L9-L10</f>
        <v>111.87141103576027</v>
      </c>
      <c r="M12" s="221">
        <f t="shared" si="1"/>
        <v>117.24123876547677</v>
      </c>
      <c r="N12" s="91"/>
    </row>
    <row r="13" spans="2:14">
      <c r="B13" s="89"/>
      <c r="C13" s="57" t="s">
        <v>98</v>
      </c>
      <c r="D13" s="57">
        <v>3</v>
      </c>
      <c r="E13" s="57">
        <f t="shared" ref="E13:H13" si="2">-E12+D12</f>
        <v>-1</v>
      </c>
      <c r="F13" s="57">
        <f t="shared" si="2"/>
        <v>-1</v>
      </c>
      <c r="G13" s="57">
        <f t="shared" si="2"/>
        <v>-3</v>
      </c>
      <c r="H13" s="57">
        <f t="shared" si="2"/>
        <v>-2</v>
      </c>
      <c r="I13" s="58">
        <f>-I12+H12</f>
        <v>-4.3148710016893546</v>
      </c>
      <c r="J13" s="58">
        <f t="shared" ref="J13:K13" si="3">-J12+I12</f>
        <v>-4.1292245820709326</v>
      </c>
      <c r="K13" s="58">
        <f t="shared" si="3"/>
        <v>-4.5075402056854728</v>
      </c>
      <c r="L13" s="58">
        <f t="shared" ref="L13" si="4">-L12+K12</f>
        <v>-4.919775246314515</v>
      </c>
      <c r="M13" s="58">
        <f t="shared" ref="M13" si="5">-M12+L12</f>
        <v>-5.3698277297164907</v>
      </c>
      <c r="N13" s="91"/>
    </row>
    <row r="14" spans="2:14">
      <c r="B14" s="89"/>
      <c r="C14" s="209"/>
      <c r="D14" s="209"/>
      <c r="E14" s="209"/>
      <c r="F14" s="209"/>
      <c r="G14" s="209"/>
      <c r="H14" s="209"/>
      <c r="I14" s="209"/>
      <c r="J14" s="209"/>
      <c r="K14" s="209"/>
      <c r="L14" s="209"/>
      <c r="M14" s="209"/>
      <c r="N14" s="91"/>
    </row>
    <row r="15" spans="2:14">
      <c r="B15" s="89"/>
      <c r="C15" s="137" t="s">
        <v>24</v>
      </c>
      <c r="D15" s="137">
        <v>-15</v>
      </c>
      <c r="E15" s="137">
        <v>-17</v>
      </c>
      <c r="F15" s="137">
        <v>-18</v>
      </c>
      <c r="G15" s="137">
        <v>-36</v>
      </c>
      <c r="H15" s="137">
        <v>-36</v>
      </c>
      <c r="I15" s="77">
        <f>-$H$23*'1. P&amp;L'!K16</f>
        <v>-36.565766497461929</v>
      </c>
      <c r="J15" s="77">
        <f>-$H$23*'1. P&amp;L'!L16</f>
        <v>-38.101528690355337</v>
      </c>
      <c r="K15" s="77">
        <f>-$H$23*'1. P&amp;L'!M16</f>
        <v>-39.777995952730969</v>
      </c>
      <c r="L15" s="77">
        <f>-$H$23*'1. P&amp;L'!N16</f>
        <v>-41.607783766556601</v>
      </c>
      <c r="M15" s="77">
        <f>-$H$23*'1. P&amp;L'!O16</f>
        <v>-43.604957387351313</v>
      </c>
      <c r="N15" s="91"/>
    </row>
    <row r="16" spans="2:14" ht="17.100000000000001" thickBot="1">
      <c r="B16" s="147"/>
      <c r="C16" s="152"/>
      <c r="D16" s="152"/>
      <c r="E16" s="152"/>
      <c r="F16" s="152"/>
      <c r="G16" s="152"/>
      <c r="H16" s="152"/>
      <c r="I16" s="152"/>
      <c r="J16" s="152"/>
      <c r="K16" s="152"/>
      <c r="L16" s="152"/>
      <c r="M16" s="152"/>
      <c r="N16" s="150"/>
    </row>
    <row r="17" spans="3:13">
      <c r="C17" s="74"/>
      <c r="D17" s="75"/>
      <c r="E17" s="75"/>
      <c r="F17" s="75"/>
      <c r="G17" s="75"/>
      <c r="H17" s="75"/>
      <c r="I17" s="74"/>
      <c r="J17" s="74"/>
      <c r="K17" s="74"/>
      <c r="L17" s="74"/>
      <c r="M17" s="74"/>
    </row>
    <row r="18" spans="3:13">
      <c r="C18" s="74"/>
      <c r="D18" s="75"/>
      <c r="E18" s="75"/>
      <c r="F18" s="75"/>
      <c r="G18" s="75"/>
      <c r="H18" s="75"/>
      <c r="I18" s="75" t="s">
        <v>99</v>
      </c>
      <c r="J18" s="75"/>
      <c r="K18" s="75"/>
      <c r="L18" s="75"/>
      <c r="M18" s="75"/>
    </row>
    <row r="19" spans="3:13">
      <c r="C19" s="74" t="s">
        <v>100</v>
      </c>
      <c r="D19" s="235">
        <f>D8/'1. P&amp;L'!F16*365</f>
        <v>75.368731563421832</v>
      </c>
      <c r="E19" s="235">
        <f>E8/'1. P&amp;L'!G16*365</f>
        <v>69.663978494623649</v>
      </c>
      <c r="F19" s="235">
        <f>F8/'1. P&amp;L'!H16*365</f>
        <v>67.384615384615387</v>
      </c>
      <c r="G19" s="235">
        <f>G8/'1. P&amp;L'!I16*365</f>
        <v>69.079283887468037</v>
      </c>
      <c r="H19" s="235">
        <f>H8/'1. P&amp;L'!J16*365</f>
        <v>70.406091370558372</v>
      </c>
      <c r="I19" s="236">
        <f>AVERAGE(D19:H19)</f>
        <v>70.38054014013747</v>
      </c>
      <c r="J19" s="74"/>
      <c r="K19" s="74"/>
      <c r="L19" s="74"/>
      <c r="M19" s="74"/>
    </row>
    <row r="20" spans="3:13">
      <c r="C20" s="74" t="s">
        <v>101</v>
      </c>
      <c r="D20" s="235">
        <f>D9/'1. P&amp;L'!F13*365</f>
        <v>26.838235294117649</v>
      </c>
      <c r="E20" s="235">
        <f>E9/'1. P&amp;L'!G13*365</f>
        <v>24.811178247734141</v>
      </c>
      <c r="F20" s="235">
        <f>F9/'1. P&amp;L'!H13*365</f>
        <v>23.714689265536723</v>
      </c>
      <c r="G20" s="235">
        <f>G9/'1. P&amp;L'!I13*365</f>
        <v>23.727524204702629</v>
      </c>
      <c r="H20" s="235">
        <f>H9/'1. P&amp;L'!J13*365</f>
        <v>23.182432432432435</v>
      </c>
      <c r="I20" s="236">
        <f t="shared" ref="I20:I21" si="6">AVERAGE(D20:H20)</f>
        <v>24.454811888904715</v>
      </c>
      <c r="J20" s="74"/>
      <c r="K20" s="74"/>
      <c r="L20" s="74"/>
      <c r="M20" s="74"/>
    </row>
    <row r="21" spans="3:13">
      <c r="C21" s="74" t="s">
        <v>102</v>
      </c>
      <c r="D21" s="235">
        <f>D10/'1. P&amp;L'!F16*365</f>
        <v>30.147492625368731</v>
      </c>
      <c r="E21" s="235">
        <f>E10/'1. P&amp;L'!G16*365</f>
        <v>27.473118279569892</v>
      </c>
      <c r="F21" s="235">
        <f>F10/'1. P&amp;L'!H16*365</f>
        <v>27.141025641025642</v>
      </c>
      <c r="G21" s="235">
        <f>G10/'1. P&amp;L'!I16*365</f>
        <v>27.071611253196931</v>
      </c>
      <c r="H21" s="235">
        <f>H10/'1. P&amp;L'!J16*365</f>
        <v>26.865482233502537</v>
      </c>
      <c r="I21" s="236">
        <f t="shared" si="6"/>
        <v>27.739746006532748</v>
      </c>
      <c r="J21" s="74"/>
      <c r="K21" s="74"/>
      <c r="L21" s="74"/>
      <c r="M21" s="74"/>
    </row>
    <row r="23" spans="3:13">
      <c r="C23" s="74" t="s">
        <v>103</v>
      </c>
      <c r="D23" s="237">
        <f>-D15/'1. P&amp;L'!F16</f>
        <v>4.4247787610619468E-2</v>
      </c>
      <c r="E23" s="237">
        <f>-E15/'1. P&amp;L'!G16</f>
        <v>4.5698924731182797E-2</v>
      </c>
      <c r="F23" s="237">
        <f>-F15/'1. P&amp;L'!H16</f>
        <v>4.6153846153846156E-2</v>
      </c>
      <c r="G23" s="237">
        <f>-G15/'1. P&amp;L'!I16</f>
        <v>9.2071611253196933E-2</v>
      </c>
      <c r="H23" s="237">
        <f>-H15/'1. P&amp;L'!J16</f>
        <v>9.1370558375634514E-2</v>
      </c>
      <c r="I23" s="237"/>
      <c r="J23" s="74"/>
      <c r="K23" s="74"/>
      <c r="L23" s="74"/>
      <c r="M23" s="74"/>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021DA-1C04-42A8-B3D9-F10D058357B9}">
  <sheetPr>
    <tabColor rgb="FF91EBCB"/>
  </sheetPr>
  <dimension ref="B1:J14"/>
  <sheetViews>
    <sheetView showGridLines="0" topLeftCell="H1" workbookViewId="0">
      <selection activeCell="T15" sqref="T15"/>
    </sheetView>
  </sheetViews>
  <sheetFormatPr defaultColWidth="8.7109375" defaultRowHeight="15.95"/>
  <cols>
    <col min="1" max="1" width="8.7109375" style="7"/>
    <col min="2" max="2" width="1.28515625" style="7" customWidth="1"/>
    <col min="3" max="3" width="32.140625" style="7" customWidth="1"/>
    <col min="4" max="5" width="8.7109375" style="7"/>
    <col min="6" max="6" width="9.85546875" style="7" customWidth="1"/>
    <col min="7" max="9" width="8.7109375" style="7"/>
    <col min="10" max="10" width="1.42578125" style="7" customWidth="1"/>
    <col min="11" max="16384" width="8.7109375" style="7"/>
  </cols>
  <sheetData>
    <row r="1" spans="2:10" ht="17.100000000000001" thickBot="1">
      <c r="B1" s="74"/>
      <c r="C1" s="74"/>
      <c r="D1" s="74"/>
      <c r="E1" s="74"/>
      <c r="F1" s="74"/>
      <c r="G1" s="74"/>
      <c r="H1" s="74"/>
      <c r="I1" s="74"/>
      <c r="J1" s="74"/>
    </row>
    <row r="2" spans="2:10">
      <c r="B2" s="86"/>
      <c r="C2" s="87"/>
      <c r="D2" s="87"/>
      <c r="E2" s="87"/>
      <c r="F2" s="87"/>
      <c r="G2" s="87"/>
      <c r="H2" s="87"/>
      <c r="I2" s="87"/>
      <c r="J2" s="88"/>
    </row>
    <row r="3" spans="2:10">
      <c r="B3" s="40" t="s">
        <v>104</v>
      </c>
      <c r="C3" s="29"/>
      <c r="D3" s="29"/>
      <c r="E3" s="29"/>
      <c r="F3" s="29"/>
      <c r="G3" s="29"/>
      <c r="H3" s="29"/>
      <c r="I3" s="29"/>
      <c r="J3" s="91"/>
    </row>
    <row r="4" spans="2:10">
      <c r="B4" s="89"/>
      <c r="C4" s="74"/>
      <c r="D4" s="74"/>
      <c r="E4" s="74"/>
      <c r="F4" s="74"/>
      <c r="G4" s="74"/>
      <c r="H4" s="74"/>
      <c r="I4" s="74"/>
      <c r="J4" s="91"/>
    </row>
    <row r="5" spans="2:10">
      <c r="B5" s="89"/>
      <c r="C5" s="42"/>
      <c r="D5" s="26" t="s">
        <v>105</v>
      </c>
      <c r="E5" s="25" t="s">
        <v>62</v>
      </c>
      <c r="F5" s="25"/>
      <c r="G5" s="25"/>
      <c r="H5" s="25"/>
      <c r="I5" s="25"/>
      <c r="J5" s="91"/>
    </row>
    <row r="6" spans="2:10">
      <c r="B6" s="89"/>
      <c r="C6" s="42" t="s">
        <v>63</v>
      </c>
      <c r="D6" s="27">
        <v>2023</v>
      </c>
      <c r="E6" s="30">
        <v>2024</v>
      </c>
      <c r="F6" s="30">
        <v>2025</v>
      </c>
      <c r="G6" s="30">
        <v>2026</v>
      </c>
      <c r="H6" s="30">
        <v>2027</v>
      </c>
      <c r="I6" s="30">
        <v>2027</v>
      </c>
      <c r="J6" s="91"/>
    </row>
    <row r="7" spans="2:10">
      <c r="B7" s="89"/>
      <c r="C7" s="74"/>
      <c r="D7" s="222"/>
      <c r="E7" s="74"/>
      <c r="F7" s="74"/>
      <c r="G7" s="74"/>
      <c r="H7" s="74"/>
      <c r="I7" s="74"/>
      <c r="J7" s="91"/>
    </row>
    <row r="8" spans="2:10">
      <c r="B8" s="89"/>
      <c r="C8" s="74" t="s">
        <v>106</v>
      </c>
      <c r="D8" s="223"/>
      <c r="E8" s="71">
        <f>'1. P&amp;L'!K31</f>
        <v>144.86576977248978</v>
      </c>
      <c r="F8" s="71">
        <f>'1. P&amp;L'!L31</f>
        <v>151.75205530293428</v>
      </c>
      <c r="G8" s="71">
        <f>'1. P&amp;L'!M31</f>
        <v>159.26635355706344</v>
      </c>
      <c r="H8" s="71">
        <f>'1. P&amp;L'!N31</f>
        <v>166.59260582068831</v>
      </c>
      <c r="I8" s="71">
        <f>'1. P&amp;L'!O31</f>
        <v>174.58905090008142</v>
      </c>
      <c r="J8" s="91"/>
    </row>
    <row r="9" spans="2:10">
      <c r="B9" s="89"/>
      <c r="C9" s="74" t="s">
        <v>107</v>
      </c>
      <c r="D9" s="223"/>
      <c r="E9" s="71">
        <f>-'1. P&amp;L'!K39</f>
        <v>-23.512499999999999</v>
      </c>
      <c r="F9" s="71">
        <f>-'1. P&amp;L'!L39</f>
        <v>-23.512499999999999</v>
      </c>
      <c r="G9" s="71">
        <f>-'1. P&amp;L'!M39</f>
        <v>-23.512499999999999</v>
      </c>
      <c r="H9" s="71">
        <f>-'1. P&amp;L'!N39</f>
        <v>-23.512499999999999</v>
      </c>
      <c r="I9" s="71">
        <f>-'1. P&amp;L'!O39</f>
        <v>-23.512499999999999</v>
      </c>
      <c r="J9" s="91"/>
    </row>
    <row r="10" spans="2:10">
      <c r="B10" s="89"/>
      <c r="C10" s="74" t="s">
        <v>108</v>
      </c>
      <c r="D10" s="222"/>
      <c r="E10" s="71">
        <f>-'1. P&amp;L'!K44</f>
        <v>-15.194657132540133</v>
      </c>
      <c r="F10" s="71">
        <f>-'1. P&amp;L'!L44</f>
        <v>-16.06047033247718</v>
      </c>
      <c r="G10" s="71">
        <f>-'1. P&amp;L'!M44</f>
        <v>-17.011200461543055</v>
      </c>
      <c r="H10" s="71">
        <f>-'1. P&amp;L'!N44</f>
        <v>-17.923922880419202</v>
      </c>
      <c r="I10" s="71">
        <f>-'1. P&amp;L'!O44</f>
        <v>-18.926828920512389</v>
      </c>
      <c r="J10" s="91"/>
    </row>
    <row r="11" spans="2:10">
      <c r="B11" s="89"/>
      <c r="C11" s="74" t="s">
        <v>109</v>
      </c>
      <c r="D11" s="222"/>
      <c r="E11" s="71">
        <f>'2. Working Capital &amp; Capex'!I13</f>
        <v>-4.3148710016893546</v>
      </c>
      <c r="F11" s="71">
        <f>'2. Working Capital &amp; Capex'!J13</f>
        <v>-4.1292245820709326</v>
      </c>
      <c r="G11" s="71">
        <f>'2. Working Capital &amp; Capex'!K13</f>
        <v>-4.5075402056854728</v>
      </c>
      <c r="H11" s="71">
        <f>'2. Working Capital &amp; Capex'!L13</f>
        <v>-4.919775246314515</v>
      </c>
      <c r="I11" s="71">
        <f>'2. Working Capital &amp; Capex'!M13</f>
        <v>-5.3698277297164907</v>
      </c>
      <c r="J11" s="238"/>
    </row>
    <row r="12" spans="2:10">
      <c r="B12" s="89"/>
      <c r="C12" s="137" t="s">
        <v>110</v>
      </c>
      <c r="D12" s="224"/>
      <c r="E12" s="78">
        <f>'2. Working Capital &amp; Capex'!I15</f>
        <v>-36.565766497461929</v>
      </c>
      <c r="F12" s="79">
        <f>'2. Working Capital &amp; Capex'!J15</f>
        <v>-38.101528690355337</v>
      </c>
      <c r="G12" s="79">
        <f>'2. Working Capital &amp; Capex'!K15</f>
        <v>-39.777995952730969</v>
      </c>
      <c r="H12" s="79">
        <f>'2. Working Capital &amp; Capex'!L15</f>
        <v>-41.607783766556601</v>
      </c>
      <c r="I12" s="79">
        <f>'2. Working Capital &amp; Capex'!M15</f>
        <v>-43.604957387351313</v>
      </c>
      <c r="J12" s="238"/>
    </row>
    <row r="13" spans="2:10" ht="17.100000000000001" thickBot="1">
      <c r="B13" s="147"/>
      <c r="C13" s="8" t="s">
        <v>111</v>
      </c>
      <c r="D13" s="15"/>
      <c r="E13" s="41">
        <f>SUM(E8:E12)</f>
        <v>65.277975140798361</v>
      </c>
      <c r="F13" s="41">
        <f t="shared" ref="F13:G13" si="0">SUM(F8:F12)</f>
        <v>69.948331698030842</v>
      </c>
      <c r="G13" s="41">
        <f t="shared" si="0"/>
        <v>74.457116937103962</v>
      </c>
      <c r="H13" s="41">
        <f t="shared" ref="H13:I13" si="1">SUM(H8:H12)</f>
        <v>78.628623927397996</v>
      </c>
      <c r="I13" s="41">
        <f t="shared" si="1"/>
        <v>83.174936862501255</v>
      </c>
      <c r="J13" s="91"/>
    </row>
    <row r="14" spans="2:10" ht="17.100000000000001" thickBot="1">
      <c r="B14" s="147"/>
      <c r="C14" s="152"/>
      <c r="D14" s="225"/>
      <c r="E14" s="225"/>
      <c r="F14" s="225"/>
      <c r="G14" s="225"/>
      <c r="H14" s="152"/>
      <c r="I14" s="152"/>
      <c r="J14" s="150"/>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02A1-B3ED-4DD4-8F3A-CCC5F7E90041}">
  <sheetPr>
    <tabColor rgb="FFC8F7ED"/>
  </sheetPr>
  <dimension ref="B1:Q27"/>
  <sheetViews>
    <sheetView showGridLines="0" zoomScale="136" workbookViewId="0">
      <selection activeCell="F19" sqref="F19"/>
    </sheetView>
  </sheetViews>
  <sheetFormatPr defaultColWidth="8.7109375" defaultRowHeight="15.95"/>
  <cols>
    <col min="1" max="1" width="8.7109375" style="7"/>
    <col min="2" max="2" width="1.85546875" style="7" customWidth="1"/>
    <col min="3" max="3" width="36.140625" style="7" bestFit="1" customWidth="1"/>
    <col min="4" max="4" width="10.140625" style="7" bestFit="1" customWidth="1"/>
    <col min="5" max="5" width="9.42578125" style="7" bestFit="1" customWidth="1"/>
    <col min="6" max="9" width="8.7109375" style="7"/>
    <col min="10" max="10" width="1.140625" style="7" customWidth="1"/>
    <col min="11" max="11" width="8.140625" style="7" customWidth="1"/>
    <col min="12" max="12" width="1" style="7" customWidth="1"/>
    <col min="13" max="13" width="10" style="7" bestFit="1" customWidth="1"/>
    <col min="14" max="16384" width="8.7109375" style="7"/>
  </cols>
  <sheetData>
    <row r="1" spans="2:17" ht="17.100000000000001" thickBot="1">
      <c r="B1" s="74"/>
      <c r="C1" s="74"/>
      <c r="D1" s="74"/>
      <c r="E1" s="74"/>
      <c r="F1" s="74"/>
      <c r="G1" s="74"/>
      <c r="H1" s="74"/>
      <c r="I1" s="74"/>
      <c r="J1" s="74"/>
      <c r="K1" s="74"/>
      <c r="L1" s="74"/>
      <c r="M1" s="74"/>
      <c r="N1" s="74"/>
      <c r="O1" s="74"/>
      <c r="P1" s="74"/>
      <c r="Q1" s="74"/>
    </row>
    <row r="2" spans="2:17">
      <c r="B2" s="86"/>
      <c r="C2" s="87"/>
      <c r="D2" s="87"/>
      <c r="E2" s="87"/>
      <c r="F2" s="87"/>
      <c r="G2" s="87"/>
      <c r="H2" s="87"/>
      <c r="I2" s="87"/>
      <c r="J2" s="88"/>
      <c r="K2" s="74"/>
      <c r="L2" s="74"/>
      <c r="M2" s="74"/>
      <c r="N2" s="74"/>
      <c r="O2" s="74"/>
      <c r="P2" s="74"/>
      <c r="Q2" s="74"/>
    </row>
    <row r="3" spans="2:17" ht="15.75">
      <c r="B3" s="40" t="s">
        <v>112</v>
      </c>
      <c r="C3" s="29"/>
      <c r="D3" s="29"/>
      <c r="E3" s="29"/>
      <c r="F3" s="29"/>
      <c r="G3" s="29"/>
      <c r="H3" s="29"/>
      <c r="I3" s="29"/>
      <c r="J3" s="23"/>
      <c r="K3" s="10"/>
      <c r="L3" s="10"/>
      <c r="M3" s="10"/>
      <c r="N3" s="10"/>
      <c r="O3" s="10"/>
      <c r="P3" s="10"/>
      <c r="Q3" s="10"/>
    </row>
    <row r="4" spans="2:17">
      <c r="B4" s="89"/>
      <c r="C4" s="74"/>
      <c r="D4" s="74"/>
      <c r="E4" s="74"/>
      <c r="F4" s="74"/>
      <c r="G4" s="74"/>
      <c r="H4" s="74"/>
      <c r="I4" s="74"/>
      <c r="J4" s="91"/>
      <c r="K4" s="74"/>
      <c r="L4" s="74"/>
      <c r="M4" s="74"/>
      <c r="N4" s="74"/>
      <c r="O4" s="74"/>
      <c r="P4" s="74"/>
      <c r="Q4" s="74"/>
    </row>
    <row r="5" spans="2:17">
      <c r="B5" s="89"/>
      <c r="C5" s="42"/>
      <c r="D5" s="35" t="s">
        <v>105</v>
      </c>
      <c r="E5" s="25" t="s">
        <v>62</v>
      </c>
      <c r="F5" s="31"/>
      <c r="G5" s="31"/>
      <c r="H5" s="31"/>
      <c r="I5" s="31"/>
      <c r="J5" s="91"/>
      <c r="K5" s="74"/>
      <c r="L5" s="74"/>
      <c r="M5" s="74"/>
      <c r="N5" s="74"/>
      <c r="O5" s="74"/>
      <c r="P5" s="74"/>
      <c r="Q5" s="74"/>
    </row>
    <row r="6" spans="2:17">
      <c r="B6" s="89"/>
      <c r="C6" s="42" t="s">
        <v>63</v>
      </c>
      <c r="D6" s="27">
        <v>2023</v>
      </c>
      <c r="E6" s="30">
        <v>2024</v>
      </c>
      <c r="F6" s="30">
        <v>2025</v>
      </c>
      <c r="G6" s="30">
        <v>2026</v>
      </c>
      <c r="H6" s="30">
        <v>2027</v>
      </c>
      <c r="I6" s="30">
        <v>2027</v>
      </c>
      <c r="J6" s="91"/>
      <c r="K6" s="74"/>
      <c r="L6" s="74"/>
      <c r="M6" s="74"/>
      <c r="N6" s="74"/>
      <c r="O6" s="74"/>
      <c r="P6" s="74"/>
      <c r="Q6" s="74"/>
    </row>
    <row r="7" spans="2:17">
      <c r="B7" s="89"/>
      <c r="C7" s="74"/>
      <c r="D7" s="74"/>
      <c r="E7" s="74"/>
      <c r="F7" s="74"/>
      <c r="G7" s="74"/>
      <c r="H7" s="74"/>
      <c r="I7" s="74"/>
      <c r="J7" s="91"/>
      <c r="K7" s="74"/>
      <c r="L7" s="74"/>
      <c r="M7" s="74"/>
      <c r="N7" s="74"/>
      <c r="O7" s="74"/>
      <c r="P7" s="74"/>
      <c r="Q7" s="74"/>
    </row>
    <row r="8" spans="2:17">
      <c r="B8" s="89"/>
      <c r="C8" s="74" t="s">
        <v>113</v>
      </c>
      <c r="D8" s="74"/>
      <c r="E8" s="226">
        <f>'3. FCFF &amp; FCFE'!E13</f>
        <v>65.277975140798361</v>
      </c>
      <c r="F8" s="226">
        <f>'3. FCFF &amp; FCFE'!F13</f>
        <v>69.948331698030842</v>
      </c>
      <c r="G8" s="226">
        <f>'3. FCFF &amp; FCFE'!G13</f>
        <v>74.457116937103962</v>
      </c>
      <c r="H8" s="226">
        <f>'3. FCFF &amp; FCFE'!H13</f>
        <v>78.628623927397996</v>
      </c>
      <c r="I8" s="226">
        <f>'3. FCFF &amp; FCFE'!I13</f>
        <v>83.174936862501255</v>
      </c>
      <c r="J8" s="91"/>
      <c r="K8" s="74"/>
      <c r="L8" s="74"/>
      <c r="M8" s="74"/>
      <c r="N8" s="74"/>
      <c r="O8" s="74"/>
      <c r="P8" s="74"/>
      <c r="Q8" s="74"/>
    </row>
    <row r="9" spans="2:17">
      <c r="B9" s="89"/>
      <c r="C9" s="74"/>
      <c r="D9" s="74"/>
      <c r="E9" s="227"/>
      <c r="F9" s="227"/>
      <c r="G9" s="227"/>
      <c r="H9" s="227"/>
      <c r="I9" s="227"/>
      <c r="J9" s="91"/>
      <c r="K9" s="74"/>
      <c r="L9" s="74"/>
      <c r="M9" s="74"/>
      <c r="N9" s="74"/>
      <c r="O9" s="74"/>
      <c r="P9" s="74"/>
      <c r="Q9" s="74"/>
    </row>
    <row r="10" spans="2:17">
      <c r="B10" s="89"/>
      <c r="C10" s="74" t="s">
        <v>114</v>
      </c>
      <c r="D10" s="74"/>
      <c r="E10" s="226">
        <f>E8/(1+$D$16)^1</f>
        <v>56.763456644172493</v>
      </c>
      <c r="F10" s="226">
        <f>F8/(1+$D$16)^2</f>
        <v>52.890988051441099</v>
      </c>
      <c r="G10" s="226">
        <f>G8/(1+$D$16)^3</f>
        <v>48.956763006232585</v>
      </c>
      <c r="H10" s="226">
        <f>H8/(1+$D$16)^4</f>
        <v>44.956170927003846</v>
      </c>
      <c r="I10" s="226">
        <f>I8/(1+$D$16)^5</f>
        <v>41.352643567939758</v>
      </c>
      <c r="J10" s="91"/>
      <c r="K10" s="74"/>
      <c r="L10" s="74"/>
      <c r="M10" s="74"/>
      <c r="N10" s="74"/>
      <c r="O10" s="74"/>
      <c r="P10" s="74"/>
      <c r="Q10" s="74"/>
    </row>
    <row r="11" spans="2:17">
      <c r="B11" s="89"/>
      <c r="C11" s="74"/>
      <c r="D11" s="74"/>
      <c r="E11" s="228"/>
      <c r="F11" s="228"/>
      <c r="G11" s="228"/>
      <c r="H11" s="228"/>
      <c r="I11" s="228"/>
      <c r="J11" s="91"/>
      <c r="K11" s="74"/>
      <c r="L11" s="74"/>
      <c r="M11" s="74"/>
      <c r="N11" s="74"/>
      <c r="O11" s="74"/>
      <c r="P11" s="74"/>
      <c r="Q11" s="74"/>
    </row>
    <row r="12" spans="2:17">
      <c r="B12" s="89"/>
      <c r="C12" s="74" t="s">
        <v>115</v>
      </c>
      <c r="D12" s="74"/>
      <c r="E12" s="229"/>
      <c r="F12" s="229"/>
      <c r="G12" s="229"/>
      <c r="H12" s="230" t="s">
        <v>116</v>
      </c>
      <c r="I12" s="231">
        <f>I8*(1+D18)/(D16-D18)</f>
        <v>713.9182080698024</v>
      </c>
      <c r="J12" s="91"/>
      <c r="K12" s="74"/>
      <c r="L12" s="74"/>
      <c r="M12" s="74"/>
      <c r="N12" s="74"/>
      <c r="O12" s="74"/>
      <c r="P12" s="74"/>
      <c r="Q12" s="74"/>
    </row>
    <row r="13" spans="2:17">
      <c r="B13" s="89"/>
      <c r="C13" s="74"/>
      <c r="D13" s="74"/>
      <c r="E13" s="229"/>
      <c r="F13" s="229"/>
      <c r="G13" s="229"/>
      <c r="H13" s="232"/>
      <c r="I13" s="218"/>
      <c r="J13" s="91"/>
      <c r="K13" s="74"/>
      <c r="L13" s="74"/>
      <c r="M13" s="74"/>
      <c r="N13" s="74"/>
      <c r="O13" s="74"/>
      <c r="P13" s="74"/>
      <c r="Q13" s="74"/>
    </row>
    <row r="14" spans="2:17">
      <c r="B14" s="89"/>
      <c r="C14" s="74" t="s">
        <v>117</v>
      </c>
      <c r="D14" s="74"/>
      <c r="E14" s="229"/>
      <c r="F14" s="229"/>
      <c r="G14" s="229"/>
      <c r="H14" s="230" t="s">
        <v>116</v>
      </c>
      <c r="I14" s="231">
        <f>I12/(1+D16)^5</f>
        <v>354.94352395814957</v>
      </c>
      <c r="J14" s="91"/>
      <c r="K14" s="74"/>
      <c r="L14" s="74"/>
      <c r="M14" s="74"/>
      <c r="N14" s="74"/>
      <c r="O14" s="74"/>
      <c r="P14" s="74"/>
      <c r="Q14" s="74"/>
    </row>
    <row r="15" spans="2:17">
      <c r="B15" s="89"/>
      <c r="C15" s="74"/>
      <c r="D15" s="74"/>
      <c r="E15" s="228"/>
      <c r="F15" s="228"/>
      <c r="G15" s="228"/>
      <c r="H15" s="228"/>
      <c r="I15" s="228"/>
      <c r="J15" s="91"/>
      <c r="K15" s="74"/>
      <c r="L15" s="74"/>
      <c r="M15" s="74"/>
      <c r="N15" s="74"/>
      <c r="O15" s="74"/>
      <c r="P15" s="74"/>
      <c r="Q15" s="74"/>
    </row>
    <row r="16" spans="2:17">
      <c r="B16" s="89"/>
      <c r="C16" s="74" t="s">
        <v>118</v>
      </c>
      <c r="D16" s="32">
        <v>0.15</v>
      </c>
      <c r="E16" s="74"/>
      <c r="F16" s="74"/>
      <c r="G16" s="74"/>
      <c r="H16" s="74"/>
      <c r="I16" s="74"/>
      <c r="J16" s="91"/>
      <c r="K16" s="74"/>
      <c r="L16" s="74"/>
      <c r="M16" s="74"/>
      <c r="N16" s="74"/>
      <c r="O16" s="74"/>
      <c r="P16" s="74"/>
      <c r="Q16" s="74"/>
    </row>
    <row r="17" spans="2:11">
      <c r="B17" s="89"/>
      <c r="C17" s="74"/>
      <c r="D17" s="103"/>
      <c r="E17" s="74"/>
      <c r="F17" s="74"/>
      <c r="G17" s="74"/>
      <c r="H17" s="74"/>
      <c r="I17" s="74"/>
      <c r="J17" s="91"/>
      <c r="K17" s="74"/>
    </row>
    <row r="18" spans="2:11">
      <c r="B18" s="89"/>
      <c r="C18" s="74" t="s">
        <v>119</v>
      </c>
      <c r="D18" s="32">
        <v>0.03</v>
      </c>
      <c r="E18" s="74"/>
      <c r="F18" s="74"/>
      <c r="G18" s="74"/>
      <c r="H18" s="74"/>
      <c r="I18" s="74"/>
      <c r="J18" s="91"/>
      <c r="K18" s="74"/>
    </row>
    <row r="19" spans="2:11" ht="15.75">
      <c r="B19" s="89"/>
      <c r="C19" s="74"/>
      <c r="D19" s="74"/>
      <c r="E19" s="74"/>
      <c r="F19" s="74"/>
      <c r="G19" s="74"/>
      <c r="H19" s="74"/>
      <c r="I19" s="74"/>
      <c r="J19" s="91"/>
      <c r="K19" s="74"/>
    </row>
    <row r="20" spans="2:11">
      <c r="B20" s="89"/>
      <c r="C20" s="11" t="s">
        <v>120</v>
      </c>
      <c r="D20" s="231">
        <f>SUM(E10:I10,I14)</f>
        <v>599.8635461549394</v>
      </c>
      <c r="E20" s="74"/>
      <c r="F20" s="74"/>
      <c r="G20" s="74"/>
      <c r="H20" s="74"/>
      <c r="I20" s="74"/>
      <c r="J20" s="91"/>
      <c r="K20" s="74"/>
    </row>
    <row r="21" spans="2:11">
      <c r="B21" s="89"/>
      <c r="C21" s="11" t="s">
        <v>121</v>
      </c>
      <c r="D21" s="64">
        <f>'1. P&amp;L'!E53</f>
        <v>495</v>
      </c>
      <c r="E21" s="74" t="s">
        <v>122</v>
      </c>
      <c r="F21" s="74"/>
      <c r="G21" s="74"/>
      <c r="H21" s="74"/>
      <c r="I21" s="74"/>
      <c r="J21" s="91"/>
      <c r="K21" s="74"/>
    </row>
    <row r="22" spans="2:11" ht="17.100000000000001" thickBot="1">
      <c r="B22" s="89"/>
      <c r="C22" s="8" t="s">
        <v>123</v>
      </c>
      <c r="D22" s="63">
        <f>SUM(D20:D21)</f>
        <v>1094.8635461549393</v>
      </c>
      <c r="E22" s="74"/>
      <c r="F22" s="74"/>
      <c r="G22" s="74"/>
      <c r="H22" s="74"/>
      <c r="I22" s="74"/>
      <c r="J22" s="91"/>
      <c r="K22" s="74"/>
    </row>
    <row r="23" spans="2:11" ht="17.100000000000001" thickBot="1">
      <c r="B23" s="147"/>
      <c r="C23" s="36"/>
      <c r="D23" s="37"/>
      <c r="E23" s="37"/>
      <c r="F23" s="37"/>
      <c r="G23" s="37"/>
      <c r="H23" s="152"/>
      <c r="I23" s="152"/>
      <c r="J23" s="38"/>
      <c r="K23" s="34"/>
    </row>
    <row r="26" spans="2:11">
      <c r="B26" s="74"/>
      <c r="C26" s="74"/>
      <c r="D26" s="74"/>
      <c r="E26" s="239"/>
      <c r="F26" s="74"/>
      <c r="G26" s="74"/>
      <c r="H26" s="74"/>
      <c r="I26" s="74"/>
      <c r="J26" s="74"/>
      <c r="K26" s="74"/>
    </row>
    <row r="27" spans="2:11">
      <c r="B27" s="74"/>
      <c r="C27" s="74"/>
      <c r="D27" s="74"/>
      <c r="E27" s="239"/>
      <c r="F27" s="74"/>
      <c r="G27" s="74"/>
      <c r="H27" s="74"/>
      <c r="I27" s="74"/>
      <c r="J27" s="74"/>
      <c r="K27" s="74"/>
    </row>
  </sheetData>
  <pageMargins left="0.7" right="0.7" top="0.75" bottom="0.75" header="0.3" footer="0.3"/>
  <ignoredErrors>
    <ignoredError sqref="I12:I14 D20 D22" evalError="1"/>
  </ignoredErrors>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033D8-8D2E-4E29-A586-3048FCC71A23}">
  <sheetPr>
    <tabColor theme="5"/>
  </sheetPr>
  <dimension ref="B3:B4"/>
  <sheetViews>
    <sheetView showGridLines="0" workbookViewId="0">
      <selection activeCell="D3" sqref="D3"/>
    </sheetView>
  </sheetViews>
  <sheetFormatPr defaultRowHeight="15"/>
  <sheetData>
    <row r="3" spans="2:2" ht="33.75">
      <c r="B3" s="311" t="s">
        <v>124</v>
      </c>
    </row>
    <row r="4" spans="2:2" ht="33.75">
      <c r="B4" s="311" t="s">
        <v>56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2B0A-077F-4329-A4BA-84C3FA0E2070}">
  <sheetPr>
    <tabColor theme="5" tint="0.39997558519241921"/>
  </sheetPr>
  <dimension ref="D3:I82"/>
  <sheetViews>
    <sheetView showGridLines="0" workbookViewId="0">
      <selection activeCell="F18" sqref="F18"/>
    </sheetView>
  </sheetViews>
  <sheetFormatPr defaultRowHeight="15"/>
  <cols>
    <col min="1" max="3" width="6" customWidth="1"/>
    <col min="4" max="4" width="67.85546875" customWidth="1"/>
    <col min="5" max="5" width="6.42578125" bestFit="1" customWidth="1"/>
  </cols>
  <sheetData>
    <row r="3" spans="4:5" s="292" customFormat="1" ht="21">
      <c r="D3" s="292" t="s">
        <v>125</v>
      </c>
    </row>
    <row r="5" spans="4:5">
      <c r="D5" s="297" t="s">
        <v>126</v>
      </c>
      <c r="E5" s="298">
        <v>12</v>
      </c>
    </row>
    <row r="6" spans="4:5">
      <c r="D6" s="293" t="s">
        <v>127</v>
      </c>
      <c r="E6" s="294">
        <v>0.02</v>
      </c>
    </row>
    <row r="7" spans="4:5">
      <c r="D7" s="293" t="s">
        <v>128</v>
      </c>
      <c r="E7" s="295">
        <v>65</v>
      </c>
    </row>
    <row r="8" spans="4:5">
      <c r="D8" s="299" t="s">
        <v>129</v>
      </c>
      <c r="E8" s="300">
        <v>0.02</v>
      </c>
    </row>
    <row r="9" spans="4:5">
      <c r="D9" s="293" t="s">
        <v>130</v>
      </c>
      <c r="E9" s="296">
        <f>E8/5</f>
        <v>4.0000000000000001E-3</v>
      </c>
    </row>
    <row r="10" spans="4:5">
      <c r="D10" s="299" t="s">
        <v>131</v>
      </c>
      <c r="E10" s="300">
        <v>2.5000000000000001E-2</v>
      </c>
    </row>
    <row r="11" spans="4:5">
      <c r="D11" s="293" t="s">
        <v>132</v>
      </c>
      <c r="E11" s="296">
        <f>(E10-E8)/5</f>
        <v>1.0000000000000002E-3</v>
      </c>
    </row>
    <row r="12" spans="4:5">
      <c r="D12" s="299" t="s">
        <v>133</v>
      </c>
      <c r="E12" s="301">
        <v>0.03</v>
      </c>
    </row>
    <row r="13" spans="4:5">
      <c r="D13" s="293" t="s">
        <v>134</v>
      </c>
      <c r="E13" s="296">
        <f>E12/3</f>
        <v>0.01</v>
      </c>
    </row>
    <row r="14" spans="4:5">
      <c r="D14" s="299" t="s">
        <v>135</v>
      </c>
      <c r="E14" s="301">
        <v>3.5000000000000003E-2</v>
      </c>
    </row>
    <row r="15" spans="4:5">
      <c r="D15" s="293" t="s">
        <v>136</v>
      </c>
      <c r="E15" s="296">
        <f>(E14-E12)/7</f>
        <v>7.1428571428571494E-4</v>
      </c>
    </row>
    <row r="16" spans="4:5">
      <c r="D16" s="299" t="s">
        <v>137</v>
      </c>
      <c r="E16" s="302">
        <f>AVERAGEA((-'Valuation_15%IRR'!$F$77/'Valuation_15%IRR'!$H$15),-'Valuation_15%IRR'!$G$76/'Valuation_15%IRR'!$G$15)</f>
        <v>0.13923684210526316</v>
      </c>
    </row>
    <row r="17" spans="4:5">
      <c r="D17" s="299" t="s">
        <v>138</v>
      </c>
      <c r="E17" s="324">
        <f>AVERAGEA(-'Valuation_15%IRR'!$F$77/'Valuation_15%IRR'!$F$15,-'Valuation_15%IRR'!$G$77/'Valuation_15%IRR'!$G$15,-'Valuation_15%IRR'!$H$77/'Valuation_15%IRR'!$H$15)</f>
        <v>0.1004837735364051</v>
      </c>
    </row>
    <row r="18" spans="4:5">
      <c r="D18" s="293" t="s">
        <v>139</v>
      </c>
      <c r="E18" s="321">
        <f>E16*2</f>
        <v>0.27847368421052632</v>
      </c>
    </row>
    <row r="19" spans="4:5">
      <c r="D19" s="299" t="s">
        <v>140</v>
      </c>
      <c r="E19" s="302">
        <f>-'Valuation_15%IRR'!F77/'Valuation_15%IRR'!F15</f>
        <v>9.7802197802197802E-2</v>
      </c>
    </row>
    <row r="20" spans="4:5">
      <c r="D20" s="293" t="s">
        <v>141</v>
      </c>
      <c r="E20" s="321">
        <f>'Valuation_15%IRR'!H81</f>
        <v>-8.3699999999999992</v>
      </c>
    </row>
    <row r="21" spans="4:5">
      <c r="D21" s="299" t="s">
        <v>142</v>
      </c>
      <c r="E21" s="302">
        <f>E20/('Valuation_15%IRR'!$M$73-'Valuation_15%IRR'!$I$73)</f>
        <v>-2.0924999999999998</v>
      </c>
    </row>
    <row r="22" spans="4:5">
      <c r="D22" s="322" t="s">
        <v>143</v>
      </c>
      <c r="E22" s="323">
        <v>0</v>
      </c>
    </row>
    <row r="82" spans="8:9">
      <c r="H82" s="250" t="s">
        <v>116</v>
      </c>
      <c r="I82">
        <f>'Key Assumptions'!D62</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2C2B9-3B9F-4EF5-85E1-C875186567BB}">
  <sheetPr>
    <tabColor theme="5" tint="0.59999389629810485"/>
  </sheetPr>
  <dimension ref="B2:W118"/>
  <sheetViews>
    <sheetView showGridLines="0" tabSelected="1" topLeftCell="A68" zoomScale="115" zoomScaleNormal="115" workbookViewId="0">
      <selection activeCell="A78" sqref="A78:XFD79"/>
    </sheetView>
  </sheetViews>
  <sheetFormatPr defaultColWidth="12.7109375" defaultRowHeight="15.75"/>
  <cols>
    <col min="1" max="1" width="3.42578125" style="74" customWidth="1"/>
    <col min="2" max="2" width="3" style="74" customWidth="1"/>
    <col min="3" max="3" width="43" style="74" customWidth="1"/>
    <col min="4" max="4" width="9.85546875" style="74" customWidth="1"/>
    <col min="5" max="6" width="10.28515625" style="74" customWidth="1"/>
    <col min="7" max="7" width="19" style="74" customWidth="1"/>
    <col min="8" max="18" width="10.28515625" style="74" customWidth="1"/>
    <col min="19" max="19" width="3.5703125" style="74" customWidth="1"/>
    <col min="20" max="20" width="62.5703125" style="74" bestFit="1" customWidth="1"/>
    <col min="21" max="16384" width="12.7109375" style="74"/>
  </cols>
  <sheetData>
    <row r="2" spans="2:20">
      <c r="B2" s="86"/>
      <c r="C2" s="87"/>
      <c r="D2" s="87"/>
      <c r="E2" s="87"/>
      <c r="F2" s="87"/>
      <c r="G2" s="87"/>
      <c r="H2" s="87"/>
      <c r="I2" s="87"/>
      <c r="J2" s="87"/>
      <c r="K2" s="87"/>
      <c r="L2" s="87"/>
      <c r="M2" s="87"/>
      <c r="N2" s="87"/>
      <c r="O2" s="87"/>
      <c r="P2" s="87"/>
      <c r="Q2" s="87"/>
      <c r="R2" s="87"/>
      <c r="S2" s="88"/>
    </row>
    <row r="3" spans="2:20">
      <c r="B3" s="89"/>
      <c r="G3" s="90"/>
      <c r="S3" s="91"/>
    </row>
    <row r="4" spans="2:20">
      <c r="B4" s="89"/>
      <c r="G4" s="92"/>
      <c r="S4" s="91"/>
    </row>
    <row r="5" spans="2:20">
      <c r="B5" s="89"/>
      <c r="G5" s="92"/>
      <c r="S5" s="91"/>
    </row>
    <row r="6" spans="2:20">
      <c r="B6" s="89"/>
      <c r="S6" s="91"/>
    </row>
    <row r="7" spans="2:20">
      <c r="B7" s="89"/>
      <c r="G7" s="93"/>
      <c r="S7" s="91"/>
    </row>
    <row r="8" spans="2:20">
      <c r="B8" s="89"/>
      <c r="C8" s="74" t="s">
        <v>59</v>
      </c>
      <c r="D8" s="72">
        <v>5</v>
      </c>
      <c r="F8" s="94"/>
      <c r="G8" s="95"/>
      <c r="S8" s="91"/>
    </row>
    <row r="9" spans="2:20">
      <c r="B9" s="89"/>
      <c r="F9" s="94"/>
      <c r="G9" s="95"/>
      <c r="S9" s="91"/>
    </row>
    <row r="10" spans="2:20">
      <c r="B10" s="40" t="s">
        <v>144</v>
      </c>
      <c r="C10" s="29"/>
      <c r="D10" s="29"/>
      <c r="E10" s="29"/>
      <c r="F10" s="29"/>
      <c r="G10" s="51"/>
      <c r="H10" s="29"/>
      <c r="I10" s="29"/>
      <c r="J10" s="29"/>
      <c r="K10" s="29"/>
      <c r="L10" s="29"/>
      <c r="M10" s="29"/>
      <c r="N10" s="29"/>
      <c r="O10" s="29"/>
      <c r="P10" s="29"/>
      <c r="Q10" s="29"/>
      <c r="R10" s="29"/>
      <c r="S10" s="96"/>
    </row>
    <row r="11" spans="2:20">
      <c r="B11" s="89"/>
      <c r="S11" s="91"/>
    </row>
    <row r="12" spans="2:20">
      <c r="B12" s="89"/>
      <c r="C12" s="30"/>
      <c r="D12" s="30"/>
      <c r="E12" s="30"/>
      <c r="F12" s="325" t="s">
        <v>61</v>
      </c>
      <c r="G12" s="325"/>
      <c r="H12" s="326"/>
      <c r="I12" s="97" t="s">
        <v>145</v>
      </c>
      <c r="J12" s="25"/>
      <c r="K12" s="25"/>
      <c r="L12" s="25"/>
      <c r="M12" s="25"/>
      <c r="N12" s="327" t="s">
        <v>146</v>
      </c>
      <c r="O12" s="325"/>
      <c r="P12" s="325"/>
      <c r="Q12" s="325"/>
      <c r="R12" s="325"/>
      <c r="S12" s="91"/>
    </row>
    <row r="13" spans="2:20">
      <c r="B13" s="89"/>
      <c r="C13" s="30"/>
      <c r="D13" s="30"/>
      <c r="E13" s="30" t="s">
        <v>64</v>
      </c>
      <c r="F13" s="30">
        <v>2021</v>
      </c>
      <c r="G13" s="30">
        <v>2022</v>
      </c>
      <c r="H13" s="27">
        <v>2023</v>
      </c>
      <c r="I13" s="98">
        <v>2024</v>
      </c>
      <c r="J13" s="30">
        <v>2025</v>
      </c>
      <c r="K13" s="30">
        <v>2026</v>
      </c>
      <c r="L13" s="30">
        <v>2027</v>
      </c>
      <c r="M13" s="30">
        <v>2028</v>
      </c>
      <c r="N13" s="99">
        <v>2029</v>
      </c>
      <c r="O13" s="30">
        <v>2030</v>
      </c>
      <c r="P13" s="30">
        <v>2031</v>
      </c>
      <c r="Q13" s="30">
        <v>2032</v>
      </c>
      <c r="R13" s="30">
        <v>2033</v>
      </c>
      <c r="S13" s="91"/>
    </row>
    <row r="14" spans="2:20">
      <c r="B14" s="89"/>
      <c r="C14" s="100" t="s">
        <v>147</v>
      </c>
      <c r="D14" s="100"/>
      <c r="E14" s="100"/>
      <c r="F14" s="101"/>
      <c r="G14" s="101"/>
      <c r="H14" s="101"/>
      <c r="I14" s="101"/>
      <c r="J14" s="101"/>
      <c r="K14" s="101"/>
      <c r="L14" s="101"/>
      <c r="M14" s="101"/>
      <c r="N14" s="101"/>
      <c r="O14" s="101"/>
      <c r="P14" s="101"/>
      <c r="Q14" s="101"/>
      <c r="R14" s="101"/>
      <c r="S14" s="91"/>
    </row>
    <row r="15" spans="2:20">
      <c r="B15" s="89"/>
      <c r="C15" s="102" t="s">
        <v>148</v>
      </c>
      <c r="D15" s="102"/>
      <c r="E15" s="103" t="s">
        <v>149</v>
      </c>
      <c r="F15" s="104">
        <v>273</v>
      </c>
      <c r="G15" s="104">
        <v>285</v>
      </c>
      <c r="H15" s="104">
        <v>300</v>
      </c>
      <c r="I15" s="28">
        <f>H15+'Key Assumptions'!$E$5</f>
        <v>312</v>
      </c>
      <c r="J15" s="28">
        <f>I15+'Key Assumptions'!$E$5</f>
        <v>324</v>
      </c>
      <c r="K15" s="28">
        <f>J15+'Key Assumptions'!$E$5</f>
        <v>336</v>
      </c>
      <c r="L15" s="28">
        <f>K15+'Key Assumptions'!$E$5</f>
        <v>348</v>
      </c>
      <c r="M15" s="28">
        <f>L15+'Key Assumptions'!$E$5</f>
        <v>360</v>
      </c>
      <c r="N15" s="28">
        <f>M15*(1+N18)</f>
        <v>367.2</v>
      </c>
      <c r="O15" s="28">
        <f t="shared" ref="O15:R15" si="0">N15*(1+O18)</f>
        <v>374.54399999999998</v>
      </c>
      <c r="P15" s="28">
        <f t="shared" si="0"/>
        <v>382.03487999999999</v>
      </c>
      <c r="Q15" s="28">
        <f t="shared" si="0"/>
        <v>389.6755776</v>
      </c>
      <c r="R15" s="28">
        <f t="shared" si="0"/>
        <v>397.46908915199998</v>
      </c>
      <c r="S15" s="105"/>
      <c r="T15"/>
    </row>
    <row r="16" spans="2:20">
      <c r="B16" s="89"/>
      <c r="C16" s="102" t="s">
        <v>150</v>
      </c>
      <c r="D16" s="102"/>
      <c r="E16" s="103" t="s">
        <v>149</v>
      </c>
      <c r="F16" s="104"/>
      <c r="G16" s="104"/>
      <c r="H16" s="104"/>
      <c r="I16" s="284">
        <v>1</v>
      </c>
      <c r="J16" s="28"/>
      <c r="K16" s="28"/>
      <c r="L16" s="28"/>
      <c r="M16" s="28"/>
      <c r="N16" s="28"/>
      <c r="O16" s="28"/>
      <c r="P16" s="28"/>
      <c r="Q16" s="28"/>
      <c r="R16" s="28"/>
      <c r="S16" s="105"/>
      <c r="T16"/>
    </row>
    <row r="17" spans="2:20">
      <c r="B17" s="89"/>
      <c r="C17" s="102" t="s">
        <v>151</v>
      </c>
      <c r="D17" s="102"/>
      <c r="E17" s="103" t="s">
        <v>149</v>
      </c>
      <c r="F17" s="104">
        <f>F15-F16</f>
        <v>273</v>
      </c>
      <c r="G17" s="104">
        <f t="shared" ref="G17:R17" si="1">G15-G16</f>
        <v>285</v>
      </c>
      <c r="H17" s="104">
        <f t="shared" si="1"/>
        <v>300</v>
      </c>
      <c r="I17" s="28">
        <f t="shared" si="1"/>
        <v>311</v>
      </c>
      <c r="J17" s="28">
        <f t="shared" si="1"/>
        <v>324</v>
      </c>
      <c r="K17" s="28">
        <f t="shared" si="1"/>
        <v>336</v>
      </c>
      <c r="L17" s="28">
        <f t="shared" si="1"/>
        <v>348</v>
      </c>
      <c r="M17" s="28">
        <f t="shared" si="1"/>
        <v>360</v>
      </c>
      <c r="N17" s="28">
        <f t="shared" si="1"/>
        <v>367.2</v>
      </c>
      <c r="O17" s="28">
        <f t="shared" si="1"/>
        <v>374.54399999999998</v>
      </c>
      <c r="P17" s="28">
        <f t="shared" si="1"/>
        <v>382.03487999999999</v>
      </c>
      <c r="Q17" s="28">
        <f t="shared" si="1"/>
        <v>389.6755776</v>
      </c>
      <c r="R17" s="28">
        <f t="shared" si="1"/>
        <v>397.46908915199998</v>
      </c>
      <c r="S17" s="105"/>
      <c r="T17"/>
    </row>
    <row r="18" spans="2:20">
      <c r="B18" s="89"/>
      <c r="C18" s="240" t="s">
        <v>152</v>
      </c>
      <c r="D18" s="241"/>
      <c r="E18" s="282" t="s">
        <v>68</v>
      </c>
      <c r="F18" s="242"/>
      <c r="G18" s="242">
        <f>(G15-F15)/F15</f>
        <v>4.3956043956043959E-2</v>
      </c>
      <c r="H18" s="242">
        <f t="shared" ref="H18:M18" si="2">(H15-G15)/G15</f>
        <v>5.2631578947368418E-2</v>
      </c>
      <c r="I18" s="242">
        <f t="shared" si="2"/>
        <v>0.04</v>
      </c>
      <c r="J18" s="242">
        <f t="shared" si="2"/>
        <v>3.8461538461538464E-2</v>
      </c>
      <c r="K18" s="242">
        <f t="shared" si="2"/>
        <v>3.7037037037037035E-2</v>
      </c>
      <c r="L18" s="242">
        <f t="shared" si="2"/>
        <v>3.5714285714285712E-2</v>
      </c>
      <c r="M18" s="242">
        <f t="shared" si="2"/>
        <v>3.4482758620689655E-2</v>
      </c>
      <c r="N18" s="242">
        <f>'Key Assumptions'!$E$6</f>
        <v>0.02</v>
      </c>
      <c r="O18" s="242">
        <f>'Key Assumptions'!$E$6</f>
        <v>0.02</v>
      </c>
      <c r="P18" s="242">
        <f>'Key Assumptions'!$E$6</f>
        <v>0.02</v>
      </c>
      <c r="Q18" s="242">
        <f>'Key Assumptions'!$E$6</f>
        <v>0.02</v>
      </c>
      <c r="R18" s="242">
        <f>'Key Assumptions'!$E$6</f>
        <v>0.02</v>
      </c>
      <c r="S18" s="105"/>
      <c r="T18"/>
    </row>
    <row r="19" spans="2:20">
      <c r="B19" s="89"/>
      <c r="C19" s="106"/>
      <c r="D19" s="106"/>
      <c r="E19" s="107"/>
      <c r="F19" s="108"/>
      <c r="G19" s="108"/>
      <c r="H19" s="108"/>
      <c r="I19" s="109"/>
      <c r="J19" s="109"/>
      <c r="K19" s="109"/>
      <c r="L19" s="109"/>
      <c r="M19" s="109"/>
      <c r="N19" s="110"/>
      <c r="O19" s="110"/>
      <c r="P19" s="110"/>
      <c r="Q19" s="110"/>
      <c r="R19" s="110"/>
      <c r="S19" s="91"/>
    </row>
    <row r="20" spans="2:20">
      <c r="B20" s="89"/>
      <c r="C20" s="106"/>
      <c r="D20" s="106"/>
      <c r="E20" s="107"/>
      <c r="F20" s="108"/>
      <c r="G20" s="108"/>
      <c r="H20" s="108"/>
      <c r="I20" s="109"/>
      <c r="J20" s="109"/>
      <c r="K20" s="109"/>
      <c r="L20" s="109"/>
      <c r="M20" s="109"/>
      <c r="N20" s="110"/>
      <c r="O20" s="110"/>
      <c r="P20" s="110"/>
      <c r="Q20" s="110"/>
      <c r="R20" s="110"/>
      <c r="S20" s="91"/>
    </row>
    <row r="21" spans="2:20">
      <c r="B21" s="89"/>
      <c r="C21" s="102" t="s">
        <v>153</v>
      </c>
      <c r="D21" s="102"/>
      <c r="E21" s="103" t="s">
        <v>149</v>
      </c>
      <c r="F21" s="104">
        <v>120</v>
      </c>
      <c r="G21" s="104">
        <v>120</v>
      </c>
      <c r="H21" s="104">
        <v>120</v>
      </c>
      <c r="I21" s="28">
        <f>H21</f>
        <v>120</v>
      </c>
      <c r="J21" s="28">
        <f>I21</f>
        <v>120</v>
      </c>
      <c r="K21" s="28">
        <f>J21</f>
        <v>120</v>
      </c>
      <c r="L21" s="28">
        <f>K21</f>
        <v>120</v>
      </c>
      <c r="M21" s="28">
        <f>L21</f>
        <v>120</v>
      </c>
      <c r="N21" s="28">
        <v>120</v>
      </c>
      <c r="O21" s="28">
        <v>120</v>
      </c>
      <c r="P21" s="28">
        <v>120</v>
      </c>
      <c r="Q21" s="28">
        <v>120</v>
      </c>
      <c r="R21" s="28">
        <v>120</v>
      </c>
      <c r="S21" s="91"/>
    </row>
    <row r="22" spans="2:20">
      <c r="B22" s="89"/>
      <c r="C22" s="106"/>
      <c r="D22" s="106"/>
      <c r="E22" s="107"/>
      <c r="F22" s="111"/>
      <c r="G22" s="110"/>
      <c r="H22" s="110"/>
      <c r="I22" s="109"/>
      <c r="J22" s="109"/>
      <c r="K22" s="109"/>
      <c r="L22" s="109"/>
      <c r="M22" s="109"/>
      <c r="N22" s="110"/>
      <c r="O22" s="110"/>
      <c r="P22" s="110"/>
      <c r="Q22" s="110"/>
      <c r="R22" s="110"/>
      <c r="S22" s="91"/>
    </row>
    <row r="23" spans="2:20">
      <c r="B23" s="89"/>
      <c r="C23" s="102" t="s">
        <v>154</v>
      </c>
      <c r="D23" s="102"/>
      <c r="E23" s="103" t="s">
        <v>68</v>
      </c>
      <c r="F23" s="112">
        <v>0.76</v>
      </c>
      <c r="G23" s="112">
        <v>0.76500000000000001</v>
      </c>
      <c r="H23" s="112">
        <v>0.72799999999999998</v>
      </c>
      <c r="I23" s="113">
        <v>0.74</v>
      </c>
      <c r="J23" s="113">
        <v>0.74299999999999999</v>
      </c>
      <c r="K23" s="113">
        <v>0.746</v>
      </c>
      <c r="L23" s="113">
        <v>0.749</v>
      </c>
      <c r="M23" s="113">
        <v>0.752</v>
      </c>
      <c r="N23" s="113">
        <f>M23</f>
        <v>0.752</v>
      </c>
      <c r="O23" s="113">
        <f>N23</f>
        <v>0.752</v>
      </c>
      <c r="P23" s="113">
        <f>O23</f>
        <v>0.752</v>
      </c>
      <c r="Q23" s="113">
        <f>P23</f>
        <v>0.752</v>
      </c>
      <c r="R23" s="113">
        <f>Q23</f>
        <v>0.752</v>
      </c>
      <c r="S23" s="91"/>
    </row>
    <row r="24" spans="2:20">
      <c r="B24" s="89"/>
      <c r="C24" s="102"/>
      <c r="D24" s="102"/>
      <c r="E24" s="103"/>
      <c r="F24" s="112"/>
      <c r="G24" s="112"/>
      <c r="H24" s="112"/>
      <c r="I24" s="113">
        <f>I23/H23-1</f>
        <v>1.6483516483516425E-2</v>
      </c>
      <c r="J24" s="113">
        <f t="shared" ref="J24:R24" si="3">J23/I23-1</f>
        <v>4.0540540540541237E-3</v>
      </c>
      <c r="K24" s="113">
        <f t="shared" si="3"/>
        <v>4.0376850605652326E-3</v>
      </c>
      <c r="L24" s="113">
        <f t="shared" si="3"/>
        <v>4.0214477211797384E-3</v>
      </c>
      <c r="M24" s="113">
        <f t="shared" si="3"/>
        <v>4.0053404539386328E-3</v>
      </c>
      <c r="N24" s="113">
        <f t="shared" si="3"/>
        <v>0</v>
      </c>
      <c r="O24" s="113">
        <f t="shared" si="3"/>
        <v>0</v>
      </c>
      <c r="P24" s="113">
        <f t="shared" si="3"/>
        <v>0</v>
      </c>
      <c r="Q24" s="113">
        <f t="shared" si="3"/>
        <v>0</v>
      </c>
      <c r="R24" s="113">
        <f t="shared" si="3"/>
        <v>0</v>
      </c>
      <c r="S24" s="91"/>
    </row>
    <row r="25" spans="2:20">
      <c r="B25" s="89"/>
      <c r="C25" s="102" t="s">
        <v>155</v>
      </c>
      <c r="D25" s="102"/>
      <c r="E25" s="114" t="s">
        <v>66</v>
      </c>
      <c r="F25" s="115">
        <v>69.099999999999994</v>
      </c>
      <c r="G25" s="115">
        <v>69.099999999999994</v>
      </c>
      <c r="H25" s="115">
        <v>69.099999999999994</v>
      </c>
      <c r="I25" s="116">
        <v>65</v>
      </c>
      <c r="J25" s="116">
        <v>69.5</v>
      </c>
      <c r="K25" s="116">
        <v>70.599999999999994</v>
      </c>
      <c r="L25" s="116">
        <v>71.900000000000006</v>
      </c>
      <c r="M25" s="116">
        <v>73.400000000000006</v>
      </c>
      <c r="N25" s="116">
        <f>M25</f>
        <v>73.400000000000006</v>
      </c>
      <c r="O25" s="116">
        <f>N25</f>
        <v>73.400000000000006</v>
      </c>
      <c r="P25" s="116">
        <f>O25</f>
        <v>73.400000000000006</v>
      </c>
      <c r="Q25" s="116">
        <f>P25</f>
        <v>73.400000000000006</v>
      </c>
      <c r="R25" s="116">
        <f>Q25</f>
        <v>73.400000000000006</v>
      </c>
      <c r="S25" s="91"/>
    </row>
    <row r="26" spans="2:20">
      <c r="B26" s="89"/>
      <c r="C26" s="102"/>
      <c r="D26" s="102"/>
      <c r="E26" s="114"/>
      <c r="F26" s="115"/>
      <c r="G26" s="115"/>
      <c r="H26" s="115"/>
      <c r="I26" s="113">
        <f>I25/H25-1</f>
        <v>-5.9334298118668527E-2</v>
      </c>
      <c r="J26" s="113">
        <f t="shared" ref="J26:R26" si="4">J25/I25-1</f>
        <v>6.9230769230769207E-2</v>
      </c>
      <c r="K26" s="113">
        <f t="shared" si="4"/>
        <v>1.5827338129496216E-2</v>
      </c>
      <c r="L26" s="113">
        <f t="shared" si="4"/>
        <v>1.8413597733711207E-2</v>
      </c>
      <c r="M26" s="113">
        <f t="shared" si="4"/>
        <v>2.0862308762169768E-2</v>
      </c>
      <c r="N26" s="113">
        <f t="shared" si="4"/>
        <v>0</v>
      </c>
      <c r="O26" s="113">
        <f t="shared" si="4"/>
        <v>0</v>
      </c>
      <c r="P26" s="113">
        <f t="shared" si="4"/>
        <v>0</v>
      </c>
      <c r="Q26" s="113">
        <f t="shared" si="4"/>
        <v>0</v>
      </c>
      <c r="R26" s="113">
        <f t="shared" si="4"/>
        <v>0</v>
      </c>
      <c r="S26" s="91"/>
    </row>
    <row r="27" spans="2:20">
      <c r="B27" s="89"/>
      <c r="C27" s="102" t="s">
        <v>156</v>
      </c>
      <c r="D27" s="102"/>
      <c r="E27" s="114" t="s">
        <v>66</v>
      </c>
      <c r="F27" s="115">
        <f>+F25*F23</f>
        <v>52.515999999999998</v>
      </c>
      <c r="G27" s="115">
        <f>+G25*G23</f>
        <v>52.861499999999999</v>
      </c>
      <c r="H27" s="115">
        <f>+H25*H23</f>
        <v>50.304799999999993</v>
      </c>
      <c r="I27" s="117">
        <f>I23*I25</f>
        <v>48.1</v>
      </c>
      <c r="J27" s="117">
        <f>J23*J25</f>
        <v>51.638500000000001</v>
      </c>
      <c r="K27" s="117">
        <f>K23*K25</f>
        <v>52.667599999999993</v>
      </c>
      <c r="L27" s="117">
        <f>L23*L25</f>
        <v>53.853100000000005</v>
      </c>
      <c r="M27" s="117">
        <f>M23*M25</f>
        <v>55.196800000000003</v>
      </c>
      <c r="N27" s="118">
        <f t="shared" ref="N27:T27" si="5">N23*N25</f>
        <v>55.196800000000003</v>
      </c>
      <c r="O27" s="118">
        <f t="shared" si="5"/>
        <v>55.196800000000003</v>
      </c>
      <c r="P27" s="118">
        <f t="shared" si="5"/>
        <v>55.196800000000003</v>
      </c>
      <c r="Q27" s="118">
        <f t="shared" si="5"/>
        <v>55.196800000000003</v>
      </c>
      <c r="R27" s="118">
        <f t="shared" si="5"/>
        <v>55.196800000000003</v>
      </c>
      <c r="S27" s="91"/>
      <c r="T27" s="119"/>
    </row>
    <row r="28" spans="2:20">
      <c r="B28" s="89"/>
      <c r="C28" s="120" t="s">
        <v>65</v>
      </c>
      <c r="D28" s="120"/>
      <c r="E28" s="121" t="s">
        <v>157</v>
      </c>
      <c r="F28" s="122">
        <v>626.79999999999995</v>
      </c>
      <c r="G28" s="122">
        <f t="shared" ref="G28:H28" si="6">(AVERAGE(F$21:G$21)*AVERAGE(F$17:G$17)*G$27*365)/1000000</f>
        <v>645.97810229999993</v>
      </c>
      <c r="H28" s="122">
        <f t="shared" si="6"/>
        <v>644.47994519999997</v>
      </c>
      <c r="I28" s="283">
        <f>(AVERAGE(H$21:I$21)*AVERAGE(H$17:I$17)*I$27*365)/1000000</f>
        <v>643.62129000000004</v>
      </c>
      <c r="J28" s="283">
        <f>(AVERAGE(I$21:J$21)*AVERAGE(I$17:J$17)*J$27*365)/1000000</f>
        <v>718.11080025000001</v>
      </c>
      <c r="K28" s="122">
        <f t="shared" ref="K28:R28" si="7">(AVERAGE(J$21:K$21)*AVERAGE(J$17:K$17)*K$27*365)/1000000</f>
        <v>761.25749039999982</v>
      </c>
      <c r="L28" s="122">
        <f t="shared" si="7"/>
        <v>806.69789676000016</v>
      </c>
      <c r="M28" s="122">
        <f t="shared" si="7"/>
        <v>855.83742336000012</v>
      </c>
      <c r="N28" s="122">
        <f t="shared" si="7"/>
        <v>879.04657382400001</v>
      </c>
      <c r="O28" s="122">
        <f t="shared" si="7"/>
        <v>896.62750530047992</v>
      </c>
      <c r="P28" s="122">
        <f t="shared" si="7"/>
        <v>914.5600554064896</v>
      </c>
      <c r="Q28" s="122">
        <f t="shared" si="7"/>
        <v>932.85125651461931</v>
      </c>
      <c r="R28" s="122">
        <f t="shared" si="7"/>
        <v>951.50828164491179</v>
      </c>
      <c r="S28" s="91"/>
    </row>
    <row r="29" spans="2:20">
      <c r="B29" s="89"/>
      <c r="C29" s="248" t="s">
        <v>158</v>
      </c>
      <c r="D29" s="246"/>
      <c r="E29" s="281" t="s">
        <v>68</v>
      </c>
      <c r="F29" s="249"/>
      <c r="G29" s="258">
        <f>G28/F28-1</f>
        <v>3.0596844767070808E-2</v>
      </c>
      <c r="H29" s="258">
        <f>H28/G28-1</f>
        <v>-2.3192072527935537E-3</v>
      </c>
      <c r="I29" s="258">
        <f>I28/H28-1</f>
        <v>-1.3323226058391535E-3</v>
      </c>
      <c r="J29" s="258">
        <f>J28/I28-1</f>
        <v>0.11573500039130158</v>
      </c>
      <c r="K29" s="258">
        <f>K28/J28-1</f>
        <v>6.0083611240743018E-2</v>
      </c>
      <c r="L29" s="258">
        <f>L28/K28-1</f>
        <v>5.9691243676464723E-2</v>
      </c>
      <c r="M29" s="258">
        <f>M28/L28-1</f>
        <v>6.0914410211508674E-2</v>
      </c>
      <c r="N29" s="258">
        <f>N28/M28-1</f>
        <v>2.7118644067796405E-2</v>
      </c>
      <c r="O29" s="258">
        <f>O28/N28-1</f>
        <v>2.0000000000000018E-2</v>
      </c>
      <c r="P29" s="258">
        <f>P28/O28-1</f>
        <v>2.0000000000000018E-2</v>
      </c>
      <c r="Q29" s="258">
        <f>Q28/P28-1</f>
        <v>2.0000000000000018E-2</v>
      </c>
      <c r="R29" s="258">
        <f>R28/Q28-1</f>
        <v>2.0000000000000018E-2</v>
      </c>
      <c r="S29" s="91"/>
    </row>
    <row r="30" spans="2:20">
      <c r="B30" s="89"/>
      <c r="C30" s="120" t="s">
        <v>159</v>
      </c>
      <c r="D30" s="120"/>
      <c r="E30" s="121" t="s">
        <v>157</v>
      </c>
      <c r="F30" s="122">
        <v>626.79999999999995</v>
      </c>
      <c r="G30" s="122">
        <f t="shared" ref="G30:H30" si="8">(AVERAGE(F$21:G$21)*AVERAGE(F$15:G$15)*G$27*365)/1000000</f>
        <v>645.97810229999993</v>
      </c>
      <c r="H30" s="122">
        <f t="shared" si="8"/>
        <v>644.47994519999997</v>
      </c>
      <c r="I30" s="283">
        <f>(AVERAGE(H$21:I$21)*AVERAGE(H$15:I$15)*I$27*365)/1000000</f>
        <v>644.67467999999997</v>
      </c>
      <c r="J30" s="283">
        <f>(AVERAGE(I$21:J$21)*AVERAGE(I$15:J$15)*J$27*365)/1000000</f>
        <v>719.24168339999994</v>
      </c>
      <c r="K30" s="122">
        <f t="shared" ref="K30:R30" si="9">(AVERAGE(J$21:K$21)*AVERAGE(J$15:K$15)*K$27*365)/1000000</f>
        <v>761.25749039999982</v>
      </c>
      <c r="L30" s="122">
        <f t="shared" si="9"/>
        <v>806.69789676000016</v>
      </c>
      <c r="M30" s="122">
        <f t="shared" si="9"/>
        <v>855.83742336000012</v>
      </c>
      <c r="N30" s="122">
        <f t="shared" si="9"/>
        <v>879.04657382400001</v>
      </c>
      <c r="O30" s="122">
        <f t="shared" si="9"/>
        <v>896.62750530047992</v>
      </c>
      <c r="P30" s="122">
        <f t="shared" si="9"/>
        <v>914.5600554064896</v>
      </c>
      <c r="Q30" s="122">
        <f t="shared" si="9"/>
        <v>932.85125651461931</v>
      </c>
      <c r="R30" s="122">
        <f t="shared" si="9"/>
        <v>951.50828164491179</v>
      </c>
      <c r="S30" s="91"/>
    </row>
    <row r="31" spans="2:20">
      <c r="B31" s="89"/>
      <c r="C31" s="248" t="s">
        <v>160</v>
      </c>
      <c r="D31" s="246"/>
      <c r="E31" s="281" t="s">
        <v>68</v>
      </c>
      <c r="F31" s="249"/>
      <c r="G31" s="258">
        <f>G30/F30-1</f>
        <v>3.0596844767070808E-2</v>
      </c>
      <c r="H31" s="258">
        <f>H30/G30-1</f>
        <v>-2.3192072527935537E-3</v>
      </c>
      <c r="I31" s="258">
        <f>I30/H30-1</f>
        <v>3.0215804456035222E-4</v>
      </c>
      <c r="J31" s="258">
        <f>J30/I30-1</f>
        <v>0.1156660959602136</v>
      </c>
      <c r="K31" s="258">
        <f>K30/J30-1</f>
        <v>5.8416813109861465E-2</v>
      </c>
      <c r="L31" s="258">
        <f>L30/K30-1</f>
        <v>5.9691243676464723E-2</v>
      </c>
      <c r="M31" s="258">
        <f>M30/L30-1</f>
        <v>6.0914410211508674E-2</v>
      </c>
      <c r="N31" s="258">
        <f>N30/M30-1</f>
        <v>2.7118644067796405E-2</v>
      </c>
      <c r="O31" s="258">
        <f>O30/N30-1</f>
        <v>2.0000000000000018E-2</v>
      </c>
      <c r="P31" s="258">
        <f>P30/O30-1</f>
        <v>2.0000000000000018E-2</v>
      </c>
      <c r="Q31" s="258">
        <f>Q30/P30-1</f>
        <v>2.0000000000000018E-2</v>
      </c>
      <c r="R31" s="258">
        <f>R30/Q30-1</f>
        <v>2.0000000000000018E-2</v>
      </c>
      <c r="S31" s="91"/>
    </row>
    <row r="32" spans="2:20">
      <c r="B32" s="89"/>
      <c r="C32" s="106"/>
      <c r="D32" s="106"/>
      <c r="E32" s="106"/>
      <c r="F32" s="127"/>
      <c r="G32" s="110"/>
      <c r="H32" s="110"/>
      <c r="I32" s="110"/>
      <c r="J32" s="110"/>
      <c r="K32" s="110"/>
      <c r="L32" s="110"/>
      <c r="M32" s="110"/>
      <c r="N32" s="111"/>
      <c r="O32" s="111"/>
      <c r="P32" s="111"/>
      <c r="Q32" s="111"/>
      <c r="R32" s="111"/>
      <c r="S32" s="91"/>
      <c r="T32" s="201"/>
    </row>
    <row r="33" spans="2:23">
      <c r="B33" s="89"/>
      <c r="C33" s="74" t="s">
        <v>161</v>
      </c>
      <c r="E33" s="114" t="s">
        <v>157</v>
      </c>
      <c r="F33" s="128">
        <v>319.89999999999998</v>
      </c>
      <c r="G33" s="128">
        <v>324.7</v>
      </c>
      <c r="H33" s="128">
        <v>324</v>
      </c>
      <c r="I33" s="128">
        <f>I28*I34</f>
        <v>320.99384231570815</v>
      </c>
      <c r="J33" s="128">
        <f>J28*J34</f>
        <v>355.27162158072196</v>
      </c>
      <c r="K33" s="128">
        <f>K28*K34</f>
        <v>373.5725936150464</v>
      </c>
      <c r="L33" s="128">
        <f>L28*L34</f>
        <v>392.64481474433103</v>
      </c>
      <c r="M33" s="128">
        <f>M28*M34</f>
        <v>413.13919236364904</v>
      </c>
      <c r="N33" s="128">
        <f>N28*N34</f>
        <v>423.46392049799175</v>
      </c>
      <c r="O33" s="128">
        <f>O28*O34</f>
        <v>431.03657140265108</v>
      </c>
      <c r="P33" s="128">
        <f>P28*P34</f>
        <v>438.74274277529764</v>
      </c>
      <c r="Q33" s="128">
        <f>Q28*Q34</f>
        <v>446.58474637428895</v>
      </c>
      <c r="R33" s="128">
        <f>R28*R34</f>
        <v>454.56493302012984</v>
      </c>
      <c r="S33" s="91"/>
    </row>
    <row r="34" spans="2:23">
      <c r="B34" s="89"/>
      <c r="C34" s="125" t="s">
        <v>70</v>
      </c>
      <c r="D34" s="125"/>
      <c r="E34" s="125"/>
      <c r="F34" s="126"/>
      <c r="G34" s="21">
        <f>+G33/G28</f>
        <v>0.50264861741273925</v>
      </c>
      <c r="H34" s="21">
        <f>+H33/H28</f>
        <v>0.50273092656041274</v>
      </c>
      <c r="I34" s="129">
        <f>H34-'Key Assumptions'!$E$9</f>
        <v>0.49873092656041274</v>
      </c>
      <c r="J34" s="129">
        <f>I34-'Key Assumptions'!$E$9</f>
        <v>0.49473092656041273</v>
      </c>
      <c r="K34" s="129">
        <f>J34-'Key Assumptions'!$E$9</f>
        <v>0.49073092656041273</v>
      </c>
      <c r="L34" s="129">
        <f>K34-'Key Assumptions'!$E$9</f>
        <v>0.48673092656041272</v>
      </c>
      <c r="M34" s="129">
        <f>L34-'Key Assumptions'!$E$9</f>
        <v>0.48273092656041272</v>
      </c>
      <c r="N34" s="129">
        <f>M34-'Key Assumptions'!$E$11</f>
        <v>0.48173092656041272</v>
      </c>
      <c r="O34" s="129">
        <f>N34-'Key Assumptions'!$E$11</f>
        <v>0.48073092656041272</v>
      </c>
      <c r="P34" s="129">
        <f>O34-'Key Assumptions'!$E$11</f>
        <v>0.47973092656041272</v>
      </c>
      <c r="Q34" s="129">
        <f>P34-'Key Assumptions'!$E$11</f>
        <v>0.47873092656041272</v>
      </c>
      <c r="R34" s="129">
        <f>Q34-'Key Assumptions'!$E$11</f>
        <v>0.47773092656041272</v>
      </c>
      <c r="S34" s="91" t="s">
        <v>68</v>
      </c>
      <c r="T34" s="130"/>
    </row>
    <row r="35" spans="2:23">
      <c r="B35" s="89"/>
      <c r="C35" s="106"/>
      <c r="D35" s="106"/>
      <c r="E35" s="106"/>
      <c r="F35" s="110"/>
      <c r="G35" s="110"/>
      <c r="H35" s="110"/>
      <c r="I35" s="110"/>
      <c r="J35" s="110"/>
      <c r="K35" s="110"/>
      <c r="L35" s="110"/>
      <c r="M35" s="110"/>
      <c r="N35" s="110"/>
      <c r="O35" s="110"/>
      <c r="P35" s="110"/>
      <c r="Q35" s="110"/>
      <c r="R35" s="110"/>
      <c r="S35" s="91"/>
    </row>
    <row r="36" spans="2:23">
      <c r="B36" s="89"/>
      <c r="C36" s="74" t="s">
        <v>74</v>
      </c>
      <c r="E36" s="114" t="s">
        <v>157</v>
      </c>
      <c r="F36" s="128">
        <v>170</v>
      </c>
      <c r="G36" s="128">
        <v>179</v>
      </c>
      <c r="H36" s="128">
        <f>208</f>
        <v>208</v>
      </c>
      <c r="I36" s="128">
        <f>I28*I37</f>
        <v>201.28666399798547</v>
      </c>
      <c r="J36" s="128">
        <f>J28*J37</f>
        <v>217.40146813205607</v>
      </c>
      <c r="K36" s="128">
        <f>K28*K37</f>
        <v>222.85115852246929</v>
      </c>
      <c r="L36" s="128">
        <f>L28*L37</f>
        <v>235.57720854601644</v>
      </c>
      <c r="M36" s="128">
        <f>M28*M37</f>
        <v>249.31594281861348</v>
      </c>
      <c r="N36" s="128">
        <f>N28*N37</f>
        <v>255.44916272246425</v>
      </c>
      <c r="O36" s="128">
        <f>O28*O37</f>
        <v>259.91769775884177</v>
      </c>
      <c r="P36" s="128">
        <f>P28*P37</f>
        <v>264.46279453158536</v>
      </c>
      <c r="Q36" s="128">
        <f>Q28*Q37</f>
        <v>269.0857280961352</v>
      </c>
      <c r="R36" s="128">
        <f>R28*R37</f>
        <v>273.78779388545439</v>
      </c>
      <c r="S36" s="91"/>
    </row>
    <row r="37" spans="2:23">
      <c r="B37" s="89"/>
      <c r="C37" s="125" t="s">
        <v>70</v>
      </c>
      <c r="D37" s="125"/>
      <c r="E37" s="125"/>
      <c r="F37" s="21">
        <f>F36/F28</f>
        <v>0.27121888959795792</v>
      </c>
      <c r="G37" s="21">
        <f>G36/G28</f>
        <v>0.27709917621459912</v>
      </c>
      <c r="H37" s="21">
        <f>H36/H28</f>
        <v>0.32274084174248718</v>
      </c>
      <c r="I37" s="129">
        <f>H37-'Key Assumptions'!$E$13</f>
        <v>0.31274084174248717</v>
      </c>
      <c r="J37" s="129">
        <f>I37-'Key Assumptions'!$E$13</f>
        <v>0.30274084174248717</v>
      </c>
      <c r="K37" s="129">
        <f>J37-'Key Assumptions'!$E$13</f>
        <v>0.29274084174248716</v>
      </c>
      <c r="L37" s="129">
        <f>K37-'Key Assumptions'!$E$15</f>
        <v>0.29202655602820143</v>
      </c>
      <c r="M37" s="129">
        <f>L37-'Key Assumptions'!$E$15</f>
        <v>0.29131227031391571</v>
      </c>
      <c r="N37" s="129">
        <f>M37-'Key Assumptions'!$E$15</f>
        <v>0.29059798459962999</v>
      </c>
      <c r="O37" s="129">
        <f>N37-'Key Assumptions'!$E$15</f>
        <v>0.28988369888534427</v>
      </c>
      <c r="P37" s="129">
        <f>O37-'Key Assumptions'!$E$15</f>
        <v>0.28916941317105854</v>
      </c>
      <c r="Q37" s="129">
        <f>P37-'Key Assumptions'!$E$15</f>
        <v>0.28845512745677282</v>
      </c>
      <c r="R37" s="129">
        <f>Q37-'Key Assumptions'!$E$15</f>
        <v>0.2877408417424871</v>
      </c>
      <c r="S37" s="91"/>
    </row>
    <row r="38" spans="2:23">
      <c r="B38" s="131"/>
      <c r="F38" s="110"/>
      <c r="G38" s="110"/>
      <c r="H38" s="110"/>
      <c r="I38" s="110"/>
      <c r="J38" s="110"/>
      <c r="K38" s="110"/>
      <c r="L38" s="110"/>
      <c r="M38" s="110"/>
      <c r="N38" s="110"/>
      <c r="O38" s="110"/>
      <c r="P38" s="110"/>
      <c r="Q38" s="110"/>
      <c r="R38" s="110"/>
      <c r="S38" s="91"/>
    </row>
    <row r="39" spans="2:23">
      <c r="B39" s="131"/>
      <c r="C39" s="74" t="s">
        <v>162</v>
      </c>
      <c r="E39" s="114" t="s">
        <v>157</v>
      </c>
      <c r="F39" s="110"/>
      <c r="G39" s="110"/>
      <c r="H39" s="110"/>
      <c r="I39" s="110"/>
      <c r="J39" s="110"/>
      <c r="K39" s="110"/>
      <c r="L39" s="110"/>
      <c r="M39" s="110"/>
      <c r="N39" s="110"/>
      <c r="O39" s="110"/>
      <c r="P39" s="110"/>
      <c r="Q39" s="110"/>
      <c r="R39" s="110"/>
      <c r="S39" s="91"/>
    </row>
    <row r="40" spans="2:23">
      <c r="B40" s="131"/>
      <c r="F40" s="110"/>
      <c r="G40" s="110"/>
      <c r="H40" s="110"/>
      <c r="I40" s="110"/>
      <c r="J40" s="110"/>
      <c r="K40" s="110"/>
      <c r="L40" s="110"/>
      <c r="M40" s="110"/>
      <c r="N40" s="110"/>
      <c r="O40" s="110"/>
      <c r="P40" s="110"/>
      <c r="Q40" s="110"/>
      <c r="R40" s="110"/>
      <c r="S40" s="91"/>
    </row>
    <row r="41" spans="2:23">
      <c r="B41" s="131"/>
      <c r="C41" s="8" t="s">
        <v>22</v>
      </c>
      <c r="D41" s="8"/>
      <c r="E41" s="320" t="s">
        <v>157</v>
      </c>
      <c r="F41" s="122">
        <f>+F$28-F$36-F$33</f>
        <v>136.89999999999998</v>
      </c>
      <c r="G41" s="122">
        <f t="shared" ref="G41:R41" si="10">+G$28-G$36-G$33</f>
        <v>142.27810229999994</v>
      </c>
      <c r="H41" s="122">
        <f t="shared" si="10"/>
        <v>112.47994519999997</v>
      </c>
      <c r="I41" s="283">
        <f t="shared" si="10"/>
        <v>121.34078368630645</v>
      </c>
      <c r="J41" s="283">
        <f t="shared" si="10"/>
        <v>145.43771053722202</v>
      </c>
      <c r="K41" s="122">
        <f t="shared" si="10"/>
        <v>164.83373826248413</v>
      </c>
      <c r="L41" s="122">
        <f t="shared" si="10"/>
        <v>178.4758734696527</v>
      </c>
      <c r="M41" s="122">
        <f t="shared" si="10"/>
        <v>193.38228817773756</v>
      </c>
      <c r="N41" s="122">
        <f t="shared" si="10"/>
        <v>200.13349060354398</v>
      </c>
      <c r="O41" s="122">
        <f t="shared" si="10"/>
        <v>205.67323613898708</v>
      </c>
      <c r="P41" s="122">
        <f t="shared" si="10"/>
        <v>211.35451809960659</v>
      </c>
      <c r="Q41" s="122">
        <f t="shared" si="10"/>
        <v>217.18078204419515</v>
      </c>
      <c r="R41" s="122">
        <f t="shared" si="10"/>
        <v>223.15555473932761</v>
      </c>
      <c r="S41" s="91"/>
    </row>
    <row r="42" spans="2:23">
      <c r="B42" s="131"/>
      <c r="C42" s="248" t="s">
        <v>163</v>
      </c>
      <c r="D42" s="246"/>
      <c r="E42" s="313" t="s">
        <v>68</v>
      </c>
      <c r="F42" s="247">
        <f>+F41/F28</f>
        <v>0.21841097638800253</v>
      </c>
      <c r="G42" s="247">
        <f t="shared" ref="G42" si="11">+G41/G28</f>
        <v>0.22025220637266169</v>
      </c>
      <c r="H42" s="247">
        <f t="shared" ref="H42" si="12">+H41/H28</f>
        <v>0.17452823169710011</v>
      </c>
      <c r="I42" s="247">
        <f t="shared" ref="I42" si="13">+I41/I28</f>
        <v>0.18852823169710009</v>
      </c>
      <c r="J42" s="247">
        <f t="shared" ref="J42" si="14">+J41/J28</f>
        <v>0.20252823169710016</v>
      </c>
      <c r="K42" s="247">
        <f t="shared" ref="K42" si="15">+K41/K28</f>
        <v>0.21652823169710012</v>
      </c>
      <c r="L42" s="247">
        <f t="shared" ref="L42" si="16">+L41/L28</f>
        <v>0.22124251741138587</v>
      </c>
      <c r="M42" s="247">
        <f t="shared" ref="M42" si="17">+M41/M28</f>
        <v>0.22595680312567157</v>
      </c>
      <c r="N42" s="247">
        <f t="shared" ref="N42" si="18">+N41/N28</f>
        <v>0.22767108883995729</v>
      </c>
      <c r="O42" s="247">
        <f t="shared" ref="O42" si="19">+O41/O28</f>
        <v>0.22938537455424299</v>
      </c>
      <c r="P42" s="247">
        <f t="shared" ref="P42" si="20">+P41/P28</f>
        <v>0.23109966026852877</v>
      </c>
      <c r="Q42" s="247">
        <f t="shared" ref="Q42" si="21">+Q41/Q28</f>
        <v>0.23281394598281444</v>
      </c>
      <c r="R42" s="247">
        <f t="shared" ref="R42" si="22">+R41/R28</f>
        <v>0.23452823169710027</v>
      </c>
      <c r="S42" s="91"/>
    </row>
    <row r="43" spans="2:23">
      <c r="B43" s="131"/>
      <c r="C43" s="8" t="s">
        <v>164</v>
      </c>
      <c r="D43" s="8"/>
      <c r="E43" s="279" t="s">
        <v>157</v>
      </c>
      <c r="F43" s="122">
        <f>F41+(F30-F28)*F42</f>
        <v>136.89999999999998</v>
      </c>
      <c r="G43" s="122">
        <f t="shared" ref="G43:R43" si="23">G41+(G30-G28)*G42</f>
        <v>142.27810229999994</v>
      </c>
      <c r="H43" s="122">
        <f t="shared" si="23"/>
        <v>112.47994519999997</v>
      </c>
      <c r="I43" s="283">
        <f t="shared" si="23"/>
        <v>121.53937744029385</v>
      </c>
      <c r="J43" s="283">
        <f>J41+(J30-J28)*J42</f>
        <v>145.66674630184755</v>
      </c>
      <c r="K43" s="122">
        <f t="shared" si="23"/>
        <v>164.83373826248413</v>
      </c>
      <c r="L43" s="122">
        <f t="shared" si="23"/>
        <v>178.4758734696527</v>
      </c>
      <c r="M43" s="122">
        <f t="shared" si="23"/>
        <v>193.38228817773756</v>
      </c>
      <c r="N43" s="122">
        <f t="shared" si="23"/>
        <v>200.13349060354398</v>
      </c>
      <c r="O43" s="122">
        <f t="shared" si="23"/>
        <v>205.67323613898708</v>
      </c>
      <c r="P43" s="122">
        <f t="shared" si="23"/>
        <v>211.35451809960659</v>
      </c>
      <c r="Q43" s="122">
        <f t="shared" si="23"/>
        <v>217.18078204419515</v>
      </c>
      <c r="R43" s="122">
        <f t="shared" si="23"/>
        <v>223.15555473932761</v>
      </c>
      <c r="S43" s="91"/>
    </row>
    <row r="44" spans="2:23">
      <c r="B44" s="131"/>
      <c r="C44" s="248" t="s">
        <v>165</v>
      </c>
      <c r="D44" s="246"/>
      <c r="E44" s="280" t="s">
        <v>68</v>
      </c>
      <c r="F44" s="247">
        <f>+F43/F30</f>
        <v>0.21841097638800253</v>
      </c>
      <c r="G44" s="247">
        <f t="shared" ref="G44:R44" si="24">+G43/G30</f>
        <v>0.22025220637266169</v>
      </c>
      <c r="H44" s="247">
        <f t="shared" si="24"/>
        <v>0.17452823169710011</v>
      </c>
      <c r="I44" s="247">
        <f t="shared" si="24"/>
        <v>0.18852823169710009</v>
      </c>
      <c r="J44" s="247">
        <f t="shared" si="24"/>
        <v>0.20252823169710016</v>
      </c>
      <c r="K44" s="247">
        <f t="shared" si="24"/>
        <v>0.21652823169710012</v>
      </c>
      <c r="L44" s="247">
        <f t="shared" si="24"/>
        <v>0.22124251741138587</v>
      </c>
      <c r="M44" s="247">
        <f t="shared" si="24"/>
        <v>0.22595680312567157</v>
      </c>
      <c r="N44" s="247">
        <f t="shared" si="24"/>
        <v>0.22767108883995729</v>
      </c>
      <c r="O44" s="247">
        <f t="shared" si="24"/>
        <v>0.22938537455424299</v>
      </c>
      <c r="P44" s="247">
        <f t="shared" si="24"/>
        <v>0.23109966026852877</v>
      </c>
      <c r="Q44" s="247">
        <f t="shared" si="24"/>
        <v>0.23281394598281444</v>
      </c>
      <c r="R44" s="247">
        <f t="shared" si="24"/>
        <v>0.23452823169710027</v>
      </c>
      <c r="S44" s="91"/>
    </row>
    <row r="45" spans="2:23">
      <c r="B45" s="89"/>
      <c r="F45" s="92"/>
      <c r="G45" s="119"/>
      <c r="H45" s="119"/>
      <c r="I45" s="132"/>
      <c r="J45" s="132"/>
      <c r="K45" s="132"/>
      <c r="L45" s="132"/>
      <c r="M45" s="132"/>
      <c r="N45" s="132"/>
      <c r="O45" s="132"/>
      <c r="P45" s="132"/>
      <c r="Q45" s="132"/>
      <c r="R45" s="132"/>
      <c r="S45" s="91"/>
    </row>
    <row r="46" spans="2:23">
      <c r="B46" s="89"/>
      <c r="C46" s="74" t="s">
        <v>166</v>
      </c>
      <c r="E46" s="114" t="s">
        <v>157</v>
      </c>
      <c r="F46" s="128"/>
      <c r="G46" s="128"/>
      <c r="H46" s="128"/>
      <c r="I46" s="289">
        <f>$D$61*($D$62+$D$63)</f>
        <v>43.989897999999997</v>
      </c>
      <c r="J46" s="133">
        <f t="shared" ref="J46:R46" si="25">$D$61*($D$62+$D$63)</f>
        <v>43.989897999999997</v>
      </c>
      <c r="K46" s="133">
        <f t="shared" si="25"/>
        <v>43.989897999999997</v>
      </c>
      <c r="L46" s="133">
        <f t="shared" si="25"/>
        <v>43.989897999999997</v>
      </c>
      <c r="M46" s="133">
        <f t="shared" si="25"/>
        <v>43.989897999999997</v>
      </c>
      <c r="N46" s="133">
        <f t="shared" si="25"/>
        <v>43.989897999999997</v>
      </c>
      <c r="O46" s="133">
        <f>$D$61*($D$62+$D$63)</f>
        <v>43.989897999999997</v>
      </c>
      <c r="P46" s="133">
        <f t="shared" si="25"/>
        <v>43.989897999999997</v>
      </c>
      <c r="Q46" s="133">
        <f t="shared" si="25"/>
        <v>43.989897999999997</v>
      </c>
      <c r="R46" s="133">
        <f t="shared" si="25"/>
        <v>43.989897999999997</v>
      </c>
      <c r="S46" s="91"/>
    </row>
    <row r="47" spans="2:23">
      <c r="B47" s="89"/>
      <c r="F47" s="251"/>
      <c r="G47" s="251"/>
      <c r="H47" s="251"/>
      <c r="I47" s="134"/>
      <c r="J47" s="134"/>
      <c r="K47" s="134"/>
      <c r="L47" s="134"/>
      <c r="M47" s="134"/>
      <c r="N47" s="134"/>
      <c r="O47" s="134"/>
      <c r="P47" s="134"/>
      <c r="Q47" s="134"/>
      <c r="R47" s="134"/>
      <c r="S47" s="91"/>
      <c r="V47" s="103"/>
      <c r="W47" s="103"/>
    </row>
    <row r="48" spans="2:23">
      <c r="B48" s="89"/>
      <c r="C48" s="74" t="s">
        <v>79</v>
      </c>
      <c r="E48" s="114" t="s">
        <v>157</v>
      </c>
      <c r="F48" s="252"/>
      <c r="G48" s="252"/>
      <c r="H48" s="252"/>
      <c r="I48" s="135">
        <v>41.7</v>
      </c>
      <c r="J48" s="135">
        <v>42.5</v>
      </c>
      <c r="K48" s="135">
        <v>43.3</v>
      </c>
      <c r="L48" s="135">
        <v>44.2</v>
      </c>
      <c r="M48" s="135">
        <v>45</v>
      </c>
      <c r="N48" s="135">
        <v>45.9</v>
      </c>
      <c r="O48" s="135">
        <v>46.8</v>
      </c>
      <c r="P48" s="135">
        <v>47.8</v>
      </c>
      <c r="Q48" s="135">
        <v>48.7</v>
      </c>
      <c r="R48" s="136">
        <v>49.7</v>
      </c>
      <c r="S48" s="91"/>
    </row>
    <row r="49" spans="2:20">
      <c r="B49" s="89"/>
      <c r="C49" s="137"/>
      <c r="D49" s="137"/>
      <c r="E49" s="137"/>
      <c r="F49" s="253"/>
      <c r="G49" s="253"/>
      <c r="H49" s="253"/>
      <c r="I49" s="138"/>
      <c r="J49" s="138"/>
      <c r="K49" s="138"/>
      <c r="L49" s="138"/>
      <c r="M49" s="138"/>
      <c r="N49" s="139"/>
      <c r="O49" s="139"/>
      <c r="P49" s="139"/>
      <c r="Q49" s="139"/>
      <c r="R49" s="139"/>
      <c r="S49" s="91"/>
    </row>
    <row r="50" spans="2:20">
      <c r="B50" s="89"/>
      <c r="C50" s="140" t="s">
        <v>167</v>
      </c>
      <c r="D50" s="140"/>
      <c r="E50" s="121" t="s">
        <v>157</v>
      </c>
      <c r="F50" s="141">
        <f>+F43-F46-F48</f>
        <v>136.89999999999998</v>
      </c>
      <c r="G50" s="141">
        <f>+G43-G46-G48</f>
        <v>142.27810229999994</v>
      </c>
      <c r="H50" s="141">
        <f>+H43-H46-H48</f>
        <v>112.47994519999997</v>
      </c>
      <c r="I50" s="141">
        <f>+I43-I46-I48</f>
        <v>35.849479440293848</v>
      </c>
      <c r="J50" s="141">
        <f>+J43-J46-J48</f>
        <v>59.176848301847556</v>
      </c>
      <c r="K50" s="141">
        <f>+K43-K46-K48</f>
        <v>77.543840262484139</v>
      </c>
      <c r="L50" s="141">
        <f>+L43-L46-L48</f>
        <v>90.285975469652712</v>
      </c>
      <c r="M50" s="141">
        <f>+M43-M46-M48</f>
        <v>104.39239017773758</v>
      </c>
      <c r="N50" s="141">
        <f>+N43-N46-N48</f>
        <v>110.24359260354399</v>
      </c>
      <c r="O50" s="141">
        <f>+O43-O46-O48</f>
        <v>114.8833381389871</v>
      </c>
      <c r="P50" s="141">
        <f>+P43-P46-P48</f>
        <v>119.56462009960661</v>
      </c>
      <c r="Q50" s="141">
        <f>+Q43-Q46-Q48</f>
        <v>124.49088404419517</v>
      </c>
      <c r="R50" s="141">
        <f>+R43-R46-R48</f>
        <v>129.46565673932764</v>
      </c>
      <c r="S50" s="91"/>
    </row>
    <row r="51" spans="2:20">
      <c r="B51" s="89"/>
      <c r="C51" s="11"/>
      <c r="D51" s="11"/>
      <c r="E51" s="11"/>
      <c r="F51" s="254"/>
      <c r="G51" s="254"/>
      <c r="H51" s="254"/>
      <c r="I51" s="142"/>
      <c r="J51" s="142"/>
      <c r="K51" s="142"/>
      <c r="L51" s="142"/>
      <c r="M51" s="142"/>
      <c r="N51" s="142"/>
      <c r="O51" s="142"/>
      <c r="P51" s="142"/>
      <c r="Q51" s="142"/>
      <c r="R51" s="142"/>
      <c r="S51" s="91"/>
    </row>
    <row r="52" spans="2:20" ht="18">
      <c r="B52" s="89"/>
      <c r="C52" s="74" t="s">
        <v>168</v>
      </c>
      <c r="D52" s="143">
        <v>0.24</v>
      </c>
      <c r="E52" s="114" t="s">
        <v>157</v>
      </c>
      <c r="F52" s="255"/>
      <c r="G52" s="255"/>
      <c r="H52" s="255"/>
      <c r="I52" s="144">
        <f>I50*$D$52</f>
        <v>8.6038750656705236</v>
      </c>
      <c r="J52" s="144">
        <f t="shared" ref="J52:R52" si="26">J50*$D$52</f>
        <v>14.202443592443412</v>
      </c>
      <c r="K52" s="144">
        <f t="shared" si="26"/>
        <v>18.610521662996192</v>
      </c>
      <c r="L52" s="144">
        <f t="shared" si="26"/>
        <v>21.668634112716649</v>
      </c>
      <c r="M52" s="144">
        <f t="shared" si="26"/>
        <v>25.05417364265702</v>
      </c>
      <c r="N52" s="144">
        <f t="shared" si="26"/>
        <v>26.458462224850557</v>
      </c>
      <c r="O52" s="144">
        <f t="shared" si="26"/>
        <v>27.572001153356904</v>
      </c>
      <c r="P52" s="144">
        <f t="shared" si="26"/>
        <v>28.695508823905588</v>
      </c>
      <c r="Q52" s="144">
        <f t="shared" si="26"/>
        <v>29.877812170606841</v>
      </c>
      <c r="R52" s="144">
        <f t="shared" si="26"/>
        <v>31.071757617438632</v>
      </c>
      <c r="S52" s="91"/>
      <c r="T52" s="145"/>
    </row>
    <row r="53" spans="2:20">
      <c r="B53" s="89"/>
      <c r="C53" s="137"/>
      <c r="D53" s="137"/>
      <c r="E53" s="137"/>
      <c r="F53" s="256"/>
      <c r="G53" s="256"/>
      <c r="H53" s="256"/>
      <c r="I53" s="146"/>
      <c r="J53" s="146"/>
      <c r="K53" s="146"/>
      <c r="L53" s="146"/>
      <c r="M53" s="146"/>
      <c r="N53" s="146"/>
      <c r="O53" s="146"/>
      <c r="P53" s="146"/>
      <c r="Q53" s="146"/>
      <c r="R53" s="146"/>
      <c r="S53" s="91"/>
    </row>
    <row r="54" spans="2:20">
      <c r="B54" s="89"/>
      <c r="C54" s="140" t="s">
        <v>87</v>
      </c>
      <c r="D54" s="140"/>
      <c r="E54" s="121" t="s">
        <v>157</v>
      </c>
      <c r="F54" s="257"/>
      <c r="G54" s="257"/>
      <c r="H54" s="257"/>
      <c r="I54" s="141">
        <f t="shared" ref="I54:R54" si="27">I50-I52</f>
        <v>27.245604374623326</v>
      </c>
      <c r="J54" s="141">
        <f t="shared" si="27"/>
        <v>44.974404709404141</v>
      </c>
      <c r="K54" s="141">
        <f t="shared" si="27"/>
        <v>58.933318599487947</v>
      </c>
      <c r="L54" s="141">
        <f t="shared" si="27"/>
        <v>68.617341356936066</v>
      </c>
      <c r="M54" s="141">
        <f t="shared" si="27"/>
        <v>79.338216535080562</v>
      </c>
      <c r="N54" s="141">
        <f t="shared" si="27"/>
        <v>83.785130378693424</v>
      </c>
      <c r="O54" s="141">
        <f t="shared" si="27"/>
        <v>87.311336985630192</v>
      </c>
      <c r="P54" s="141">
        <f t="shared" si="27"/>
        <v>90.86911127570103</v>
      </c>
      <c r="Q54" s="141">
        <f t="shared" si="27"/>
        <v>94.613071873588325</v>
      </c>
      <c r="R54" s="141">
        <f t="shared" si="27"/>
        <v>98.393899121889007</v>
      </c>
      <c r="S54" s="91"/>
    </row>
    <row r="55" spans="2:20">
      <c r="B55" s="147"/>
      <c r="C55" s="245" t="s">
        <v>88</v>
      </c>
      <c r="D55" s="36"/>
      <c r="E55" s="278" t="s">
        <v>68</v>
      </c>
      <c r="F55" s="243"/>
      <c r="G55" s="243"/>
      <c r="H55" s="243"/>
      <c r="I55" s="244">
        <f>I54/I28</f>
        <v>4.233173264766199E-2</v>
      </c>
      <c r="J55" s="244">
        <f>J54/J28</f>
        <v>6.2628781928564428E-2</v>
      </c>
      <c r="K55" s="244">
        <f>K54/K28</f>
        <v>7.7415748735058965E-2</v>
      </c>
      <c r="L55" s="244">
        <f>L54/L28</f>
        <v>8.5059526785093806E-2</v>
      </c>
      <c r="M55" s="244">
        <f>M54/M28</f>
        <v>9.2702439002492268E-2</v>
      </c>
      <c r="N55" s="244">
        <f>N54/N28</f>
        <v>9.5313641931637424E-2</v>
      </c>
      <c r="O55" s="244">
        <f>O54/O28</f>
        <v>9.7377491176082326E-2</v>
      </c>
      <c r="P55" s="244">
        <f>P54/P28</f>
        <v>9.9358276953516109E-2</v>
      </c>
      <c r="Q55" s="244">
        <f>Q54/Q28</f>
        <v>0.10142353479491249</v>
      </c>
      <c r="R55" s="244">
        <f>R54/R28</f>
        <v>0.10340834758872661</v>
      </c>
      <c r="S55" s="150"/>
    </row>
    <row r="56" spans="2:20">
      <c r="C56" s="11"/>
      <c r="D56" s="11"/>
      <c r="E56" s="123"/>
      <c r="F56" s="151"/>
      <c r="G56" s="151"/>
      <c r="H56" s="151"/>
      <c r="I56" s="151"/>
      <c r="J56" s="151"/>
      <c r="K56" s="151"/>
      <c r="L56" s="151"/>
      <c r="M56" s="151"/>
      <c r="N56" s="151"/>
      <c r="O56" s="151"/>
      <c r="P56" s="151"/>
      <c r="Q56" s="151"/>
      <c r="R56" s="151"/>
    </row>
    <row r="57" spans="2:20">
      <c r="B57" s="152"/>
      <c r="C57" s="140"/>
      <c r="D57" s="140"/>
      <c r="E57" s="148"/>
      <c r="F57" s="149"/>
      <c r="G57" s="149"/>
      <c r="H57" s="149"/>
      <c r="I57" s="149"/>
      <c r="J57" s="149"/>
      <c r="K57" s="149"/>
      <c r="L57" s="149"/>
      <c r="M57" s="149"/>
      <c r="N57" s="149"/>
      <c r="O57" s="149"/>
      <c r="P57" s="149"/>
      <c r="Q57" s="149"/>
      <c r="R57" s="149"/>
      <c r="S57" s="152"/>
    </row>
    <row r="58" spans="2:20">
      <c r="B58" s="89"/>
      <c r="F58" s="153"/>
      <c r="G58" s="153"/>
      <c r="H58" s="153"/>
      <c r="I58" s="134"/>
      <c r="J58" s="134"/>
      <c r="K58" s="134"/>
      <c r="L58" s="134"/>
      <c r="M58" s="134"/>
      <c r="N58" s="134"/>
      <c r="O58" s="134"/>
      <c r="P58" s="134"/>
      <c r="Q58" s="134"/>
      <c r="R58" s="134"/>
      <c r="S58" s="91"/>
    </row>
    <row r="59" spans="2:20">
      <c r="B59" s="40" t="s">
        <v>89</v>
      </c>
      <c r="C59" s="29"/>
      <c r="D59" s="29"/>
      <c r="E59" s="29"/>
      <c r="F59" s="29"/>
      <c r="G59" s="51"/>
      <c r="H59" s="29"/>
      <c r="I59" s="29"/>
      <c r="J59" s="29"/>
      <c r="K59" s="29"/>
      <c r="L59" s="29"/>
      <c r="M59" s="29"/>
      <c r="N59" s="29"/>
      <c r="O59" s="29"/>
      <c r="P59" s="29"/>
      <c r="Q59" s="29"/>
      <c r="R59" s="29"/>
      <c r="S59" s="96"/>
    </row>
    <row r="60" spans="2:20">
      <c r="B60" s="24"/>
      <c r="C60" s="10"/>
      <c r="D60" s="10"/>
      <c r="E60" s="10"/>
      <c r="F60" s="10"/>
      <c r="G60" s="17"/>
      <c r="H60" s="11"/>
      <c r="I60" s="11"/>
      <c r="J60" s="11"/>
      <c r="K60" s="11"/>
      <c r="L60" s="11"/>
      <c r="M60" s="11"/>
      <c r="N60" s="10"/>
      <c r="O60" s="10"/>
      <c r="P60" s="10"/>
      <c r="Q60" s="10"/>
      <c r="S60" s="91"/>
    </row>
    <row r="61" spans="2:20">
      <c r="B61" s="24"/>
      <c r="C61" s="68" t="s">
        <v>91</v>
      </c>
      <c r="D61" s="28">
        <v>756.1</v>
      </c>
      <c r="E61" s="114" t="s">
        <v>157</v>
      </c>
      <c r="F61" s="10"/>
      <c r="G61" s="17"/>
      <c r="H61" s="11"/>
      <c r="I61" s="11"/>
      <c r="J61" s="11"/>
      <c r="K61" s="11"/>
      <c r="L61" s="11"/>
      <c r="M61" s="11"/>
      <c r="N61" s="10"/>
      <c r="O61" s="10"/>
      <c r="P61" s="10"/>
      <c r="Q61" s="10"/>
      <c r="S61" s="91"/>
    </row>
    <row r="62" spans="2:20">
      <c r="B62" s="89"/>
      <c r="C62" s="68" t="s">
        <v>92</v>
      </c>
      <c r="D62" s="154">
        <v>3.5999999999999997E-2</v>
      </c>
      <c r="E62" s="103" t="s">
        <v>68</v>
      </c>
      <c r="G62" s="155"/>
      <c r="H62" s="156"/>
      <c r="I62"/>
      <c r="J62" s="11"/>
      <c r="K62" s="52"/>
      <c r="L62" s="52"/>
      <c r="M62" s="52"/>
      <c r="N62" s="17"/>
      <c r="S62" s="91"/>
    </row>
    <row r="63" spans="2:20">
      <c r="B63" s="61"/>
      <c r="C63" s="68" t="s">
        <v>93</v>
      </c>
      <c r="D63" s="157">
        <v>2.2179999999999998E-2</v>
      </c>
      <c r="E63" s="103" t="s">
        <v>68</v>
      </c>
      <c r="G63" s="17"/>
      <c r="H63" s="11"/>
      <c r="I63" s="11"/>
      <c r="J63" s="11" t="s">
        <v>169</v>
      </c>
      <c r="K63" s="55"/>
      <c r="L63" s="55"/>
      <c r="M63" s="55"/>
      <c r="N63" s="158"/>
      <c r="S63" s="91"/>
      <c r="T63" s="159"/>
    </row>
    <row r="64" spans="2:20">
      <c r="B64" s="61"/>
      <c r="C64" s="68" t="s">
        <v>170</v>
      </c>
      <c r="D64" s="220">
        <f>D61/H43</f>
        <v>6.7220872010168815</v>
      </c>
      <c r="E64" s="103" t="s">
        <v>171</v>
      </c>
      <c r="G64" s="17"/>
      <c r="H64" s="11"/>
      <c r="I64" s="11"/>
      <c r="J64" s="11"/>
      <c r="K64" s="55"/>
      <c r="L64" s="55"/>
      <c r="M64" s="55"/>
      <c r="N64" s="158"/>
      <c r="S64" s="91"/>
      <c r="T64" s="159"/>
    </row>
    <row r="65" spans="2:21">
      <c r="B65" s="160"/>
      <c r="C65" s="306"/>
      <c r="D65" s="306"/>
      <c r="E65" s="152"/>
      <c r="F65" s="152"/>
      <c r="G65" s="161"/>
      <c r="H65" s="152"/>
      <c r="I65" s="162"/>
      <c r="J65" s="163"/>
      <c r="K65" s="164"/>
      <c r="L65" s="164"/>
      <c r="M65" s="164"/>
      <c r="N65" s="164"/>
      <c r="O65" s="152"/>
      <c r="P65" s="152"/>
      <c r="Q65" s="152"/>
      <c r="R65" s="152"/>
      <c r="S65" s="150"/>
    </row>
    <row r="66" spans="2:21">
      <c r="B66" s="65"/>
      <c r="C66"/>
      <c r="D66"/>
      <c r="G66" s="103"/>
      <c r="I66" s="165"/>
      <c r="J66" s="166"/>
      <c r="K66" s="158"/>
      <c r="L66" s="158"/>
      <c r="M66" s="158"/>
      <c r="N66" s="158"/>
    </row>
    <row r="67" spans="2:21">
      <c r="B67" s="37"/>
      <c r="C67"/>
      <c r="D67"/>
      <c r="E67" s="152"/>
      <c r="F67" s="152"/>
      <c r="G67" s="161"/>
      <c r="H67" s="152"/>
      <c r="I67" s="162"/>
      <c r="J67" s="163"/>
      <c r="K67" s="164"/>
      <c r="L67" s="164"/>
      <c r="M67" s="164"/>
      <c r="N67" s="164"/>
      <c r="O67" s="152"/>
      <c r="P67" s="152"/>
      <c r="Q67" s="152"/>
      <c r="R67" s="152"/>
      <c r="S67" s="152"/>
    </row>
    <row r="68" spans="2:21">
      <c r="B68" s="89"/>
      <c r="C68" s="307"/>
      <c r="D68" s="307"/>
      <c r="G68" s="103"/>
      <c r="K68" s="17"/>
      <c r="L68" s="17"/>
      <c r="M68" s="17"/>
      <c r="S68" s="91"/>
    </row>
    <row r="69" spans="2:21">
      <c r="B69" s="89"/>
      <c r="D69" s="167"/>
      <c r="G69" s="103"/>
      <c r="K69" s="17"/>
      <c r="L69" s="17"/>
      <c r="M69" s="17"/>
      <c r="S69" s="91"/>
    </row>
    <row r="70" spans="2:21">
      <c r="B70" s="40" t="s">
        <v>172</v>
      </c>
      <c r="C70" s="29"/>
      <c r="D70" s="29"/>
      <c r="E70" s="29"/>
      <c r="F70" s="29"/>
      <c r="G70" s="51"/>
      <c r="H70" s="29"/>
      <c r="I70" s="29"/>
      <c r="J70" s="29"/>
      <c r="K70" s="29"/>
      <c r="L70" s="29"/>
      <c r="M70" s="29"/>
      <c r="N70" s="29"/>
      <c r="O70" s="29"/>
      <c r="P70" s="29"/>
      <c r="Q70" s="29"/>
      <c r="R70" s="29"/>
      <c r="S70" s="96"/>
    </row>
    <row r="71" spans="2:21">
      <c r="B71" s="89"/>
      <c r="F71" s="153"/>
      <c r="G71" s="153"/>
      <c r="H71" s="153"/>
      <c r="I71" s="134"/>
      <c r="J71" s="134"/>
      <c r="K71" s="134"/>
      <c r="L71" s="134"/>
      <c r="M71" s="134"/>
      <c r="N71" s="134"/>
      <c r="O71" s="134"/>
      <c r="P71" s="134"/>
      <c r="Q71" s="134"/>
      <c r="R71" s="134"/>
      <c r="S71" s="91"/>
    </row>
    <row r="72" spans="2:21">
      <c r="B72" s="89"/>
      <c r="C72" s="30"/>
      <c r="D72" s="30"/>
      <c r="E72" s="30"/>
      <c r="F72" s="325" t="s">
        <v>61</v>
      </c>
      <c r="G72" s="325"/>
      <c r="H72" s="326"/>
      <c r="I72" s="97" t="s">
        <v>145</v>
      </c>
      <c r="J72" s="25"/>
      <c r="K72" s="25"/>
      <c r="L72" s="25"/>
      <c r="M72" s="25"/>
      <c r="N72" s="327" t="s">
        <v>146</v>
      </c>
      <c r="O72" s="325"/>
      <c r="P72" s="325"/>
      <c r="Q72" s="325"/>
      <c r="R72" s="325"/>
      <c r="S72" s="91"/>
    </row>
    <row r="73" spans="2:21">
      <c r="B73" s="89"/>
      <c r="C73" s="30"/>
      <c r="D73" s="30"/>
      <c r="E73" s="30" t="s">
        <v>64</v>
      </c>
      <c r="F73" s="30">
        <v>2021</v>
      </c>
      <c r="G73" s="30">
        <v>2022</v>
      </c>
      <c r="H73" s="27">
        <v>2023</v>
      </c>
      <c r="I73" s="98">
        <v>2024</v>
      </c>
      <c r="J73" s="30">
        <v>2025</v>
      </c>
      <c r="K73" s="30">
        <v>2026</v>
      </c>
      <c r="L73" s="30">
        <v>2027</v>
      </c>
      <c r="M73" s="30">
        <v>2028</v>
      </c>
      <c r="N73" s="99">
        <v>2029</v>
      </c>
      <c r="O73" s="30">
        <v>2030</v>
      </c>
      <c r="P73" s="30">
        <v>2031</v>
      </c>
      <c r="Q73" s="30">
        <v>2032</v>
      </c>
      <c r="R73" s="30">
        <v>2033</v>
      </c>
      <c r="S73" s="91"/>
    </row>
    <row r="74" spans="2:21">
      <c r="B74" s="89"/>
      <c r="F74" s="153"/>
      <c r="G74" s="153"/>
      <c r="H74" s="153"/>
      <c r="I74" s="134"/>
      <c r="J74" s="134"/>
      <c r="K74" s="134"/>
      <c r="L74" s="134"/>
      <c r="M74" s="134"/>
      <c r="N74" s="134"/>
      <c r="O74" s="134"/>
      <c r="P74" s="134"/>
      <c r="Q74" s="134"/>
      <c r="R74" s="134"/>
      <c r="S74" s="91"/>
    </row>
    <row r="75" spans="2:21">
      <c r="B75" s="89"/>
      <c r="C75" s="168" t="s">
        <v>173</v>
      </c>
      <c r="D75" s="168"/>
      <c r="E75" s="169"/>
      <c r="F75" s="153"/>
      <c r="H75" s="153"/>
      <c r="I75" s="134"/>
      <c r="J75" s="134"/>
      <c r="K75" s="134"/>
      <c r="L75" s="134"/>
      <c r="M75" s="134"/>
      <c r="N75" s="134"/>
      <c r="O75" s="134"/>
      <c r="P75" s="134"/>
      <c r="Q75" s="134"/>
      <c r="R75" s="134"/>
      <c r="S75" s="91"/>
    </row>
    <row r="76" spans="2:21">
      <c r="B76" s="89"/>
      <c r="C76" s="74" t="s">
        <v>174</v>
      </c>
      <c r="E76" s="114" t="s">
        <v>157</v>
      </c>
      <c r="F76" s="128">
        <v>-2</v>
      </c>
      <c r="G76" s="128">
        <f>-54</f>
        <v>-54</v>
      </c>
      <c r="H76" s="128">
        <f>-60</f>
        <v>-60</v>
      </c>
      <c r="I76" s="170">
        <f>-'Key Assumptions'!$E$16*(I15-H15)</f>
        <v>-1.6708421052631579</v>
      </c>
      <c r="J76" s="170">
        <f>-'Key Assumptions'!$E$16*(J15-I15)</f>
        <v>-1.6708421052631579</v>
      </c>
      <c r="K76" s="170">
        <f>-'Key Assumptions'!$E$16*(K15-J15)</f>
        <v>-1.6708421052631579</v>
      </c>
      <c r="L76" s="170">
        <f>-'Key Assumptions'!$E$16*(L15-K15)</f>
        <v>-1.6708421052631579</v>
      </c>
      <c r="M76" s="170">
        <f>-'Key Assumptions'!$E$16*(M15-L15)</f>
        <v>-1.6708421052631579</v>
      </c>
      <c r="N76" s="287">
        <f>-'Key Assumptions'!$E$16*(N15-M15)</f>
        <v>-1.0025052631578932</v>
      </c>
      <c r="O76" s="287">
        <f>-'Key Assumptions'!$E$16*(O15-N15)</f>
        <v>-1.0225553684210518</v>
      </c>
      <c r="P76" s="287">
        <f>-'Key Assumptions'!$E$16*(P15-O15)</f>
        <v>-1.0430064757894744</v>
      </c>
      <c r="Q76" s="287">
        <f>-'Key Assumptions'!$E$16*(Q15-P15)</f>
        <v>-1.0638666053052646</v>
      </c>
      <c r="R76" s="287">
        <f>-'Key Assumptions'!$E$16*(R15-Q15)</f>
        <v>-1.0851439374113663</v>
      </c>
      <c r="S76" s="91"/>
    </row>
    <row r="77" spans="2:21">
      <c r="B77" s="89"/>
      <c r="C77" s="74" t="s">
        <v>175</v>
      </c>
      <c r="E77" s="114" t="s">
        <v>157</v>
      </c>
      <c r="F77" s="128">
        <v>-26.7</v>
      </c>
      <c r="G77" s="128">
        <v>-28.4</v>
      </c>
      <c r="H77" s="128">
        <v>-31.2</v>
      </c>
      <c r="I77" s="285">
        <f>-'Valuation_15%IRR'!I15*'Key Assumptions'!$E$17</f>
        <v>-31.350937343358392</v>
      </c>
      <c r="J77" s="285">
        <f>-'Valuation_15%IRR'!J15*'Key Assumptions'!$E$17</f>
        <v>-32.556742625795252</v>
      </c>
      <c r="K77" s="285">
        <f>-'Valuation_15%IRR'!K15*'Key Assumptions'!$E$17</f>
        <v>-33.762547908232115</v>
      </c>
      <c r="L77" s="285">
        <f>-'Valuation_15%IRR'!L15*'Key Assumptions'!$E$17</f>
        <v>-34.968353190668978</v>
      </c>
      <c r="M77" s="285">
        <f>-'Valuation_15%IRR'!M15*'Key Assumptions'!$E$17</f>
        <v>-36.174158473105834</v>
      </c>
      <c r="N77" s="287">
        <f>-'Valuation_15%IRR'!N15*'Key Assumptions'!$E$17</f>
        <v>-36.897641642567955</v>
      </c>
      <c r="O77" s="287">
        <f>-'Valuation_15%IRR'!O15*'Key Assumptions'!$E$17</f>
        <v>-37.63559447541931</v>
      </c>
      <c r="P77" s="287">
        <f>-'Valuation_15%IRR'!P15*'Key Assumptions'!$E$17</f>
        <v>-38.388306364927693</v>
      </c>
      <c r="Q77" s="287">
        <f>-'Valuation_15%IRR'!Q15*'Key Assumptions'!$E$17</f>
        <v>-39.156072492226251</v>
      </c>
      <c r="R77" s="287">
        <f>-'Valuation_15%IRR'!R15*'Key Assumptions'!$E$17</f>
        <v>-39.939193942070773</v>
      </c>
      <c r="S77" s="91"/>
      <c r="U77" s="173"/>
    </row>
    <row r="78" spans="2:21">
      <c r="B78" s="89"/>
      <c r="C78" s="312" t="s">
        <v>176</v>
      </c>
      <c r="D78" s="137"/>
      <c r="E78" s="171" t="s">
        <v>157</v>
      </c>
      <c r="F78" s="172"/>
      <c r="G78" s="172"/>
      <c r="H78" s="172"/>
      <c r="I78" s="303">
        <f>-'Key Assumptions'!$E$18</f>
        <v>-0.27847368421052632</v>
      </c>
      <c r="J78" s="303">
        <v>0</v>
      </c>
      <c r="K78" s="303">
        <v>0</v>
      </c>
      <c r="L78" s="303">
        <v>0</v>
      </c>
      <c r="M78" s="303">
        <v>0</v>
      </c>
      <c r="N78" s="303">
        <v>0</v>
      </c>
      <c r="O78" s="303">
        <v>0</v>
      </c>
      <c r="P78" s="303">
        <v>0</v>
      </c>
      <c r="Q78" s="303">
        <v>0</v>
      </c>
      <c r="R78" s="303">
        <v>0</v>
      </c>
      <c r="S78" s="91"/>
      <c r="U78" s="173"/>
    </row>
    <row r="79" spans="2:21">
      <c r="B79" s="89"/>
      <c r="C79" s="57" t="s">
        <v>177</v>
      </c>
      <c r="D79" s="57"/>
      <c r="E79" s="174" t="s">
        <v>157</v>
      </c>
      <c r="F79" s="175">
        <f>F76+F77</f>
        <v>-28.7</v>
      </c>
      <c r="G79" s="175">
        <f t="shared" ref="G79:H79" si="28">G76+G77</f>
        <v>-82.4</v>
      </c>
      <c r="H79" s="175">
        <f t="shared" si="28"/>
        <v>-91.2</v>
      </c>
      <c r="I79" s="304">
        <f>I76+I77</f>
        <v>-33.021779448621551</v>
      </c>
      <c r="J79" s="304">
        <f>J76+J77</f>
        <v>-34.227584731058407</v>
      </c>
      <c r="K79" s="304">
        <f>K76+K77+K78</f>
        <v>-35.43339001349527</v>
      </c>
      <c r="L79" s="304">
        <f>L76+L77+L78</f>
        <v>-36.639195295932133</v>
      </c>
      <c r="M79" s="304">
        <f>M76+M77+M78</f>
        <v>-37.845000578368989</v>
      </c>
      <c r="N79" s="305">
        <f>N76+N77+N78</f>
        <v>-37.900146905725848</v>
      </c>
      <c r="O79" s="305">
        <f>O76+O77+O78</f>
        <v>-38.658149843840363</v>
      </c>
      <c r="P79" s="305">
        <f>P76+P77+P78</f>
        <v>-39.431312840717169</v>
      </c>
      <c r="Q79" s="305">
        <f>Q76+Q77+Q78</f>
        <v>-40.219939097531515</v>
      </c>
      <c r="R79" s="305">
        <f>R76+R77+R78</f>
        <v>-41.02433787948214</v>
      </c>
      <c r="S79" s="91"/>
      <c r="U79" s="11"/>
    </row>
    <row r="80" spans="2:21">
      <c r="B80" s="89"/>
      <c r="F80" s="176"/>
      <c r="G80" s="176"/>
      <c r="H80" s="177"/>
      <c r="I80" s="178"/>
      <c r="J80" s="134"/>
      <c r="K80" s="134"/>
      <c r="L80" s="134"/>
      <c r="M80" s="134"/>
      <c r="N80" s="134"/>
      <c r="O80" s="134"/>
      <c r="P80" s="134"/>
      <c r="Q80" s="134"/>
      <c r="R80" s="134"/>
      <c r="S80" s="91"/>
    </row>
    <row r="81" spans="2:20">
      <c r="B81" s="89"/>
      <c r="C81" s="74" t="s">
        <v>98</v>
      </c>
      <c r="E81" s="114" t="s">
        <v>157</v>
      </c>
      <c r="F81" s="128">
        <v>-8.14</v>
      </c>
      <c r="G81" s="128">
        <v>-8.39</v>
      </c>
      <c r="H81" s="128">
        <v>-8.3699999999999992</v>
      </c>
      <c r="I81" s="179">
        <f>'Key Assumptions'!E20</f>
        <v>-8.3699999999999992</v>
      </c>
      <c r="J81" s="179">
        <f>'Valuation_15%IRR'!I81-'Key Assumptions'!$E$21</f>
        <v>-6.2774999999999999</v>
      </c>
      <c r="K81" s="179">
        <f>'Valuation_15%IRR'!J81-'Key Assumptions'!$E$21</f>
        <v>-4.1850000000000005</v>
      </c>
      <c r="L81" s="179">
        <f>'Valuation_15%IRR'!K81-'Key Assumptions'!$E$21</f>
        <v>-2.0925000000000007</v>
      </c>
      <c r="M81" s="179">
        <f>'Valuation_15%IRR'!L81-'Key Assumptions'!$E$21</f>
        <v>0</v>
      </c>
      <c r="N81" s="314">
        <f>'Key Assumptions'!$E$22</f>
        <v>0</v>
      </c>
      <c r="O81" s="314">
        <f>'Key Assumptions'!$E$22</f>
        <v>0</v>
      </c>
      <c r="P81" s="314">
        <f>'Key Assumptions'!$E$22</f>
        <v>0</v>
      </c>
      <c r="Q81" s="314">
        <f>'Key Assumptions'!$E$22</f>
        <v>0</v>
      </c>
      <c r="R81" s="314">
        <f>'Key Assumptions'!$E$22</f>
        <v>0</v>
      </c>
      <c r="S81" s="91"/>
    </row>
    <row r="82" spans="2:20">
      <c r="B82" s="315"/>
      <c r="C82" s="316"/>
      <c r="D82" s="291"/>
      <c r="E82" s="291"/>
      <c r="F82" s="317"/>
      <c r="G82" s="318"/>
      <c r="H82" s="318"/>
      <c r="I82" s="318"/>
      <c r="J82" s="318"/>
      <c r="K82" s="318"/>
      <c r="L82" s="318"/>
      <c r="M82" s="318"/>
      <c r="N82" s="318"/>
      <c r="O82" s="318"/>
      <c r="P82" s="318"/>
      <c r="Q82" s="318"/>
      <c r="R82" s="318"/>
      <c r="S82" s="319"/>
    </row>
    <row r="83" spans="2:20">
      <c r="F83" s="180"/>
      <c r="G83" s="181"/>
      <c r="H83" s="181"/>
      <c r="I83" s="181"/>
      <c r="J83" s="181"/>
      <c r="K83" s="181"/>
      <c r="L83" s="181"/>
      <c r="M83" s="181"/>
      <c r="N83" s="181"/>
      <c r="O83" s="181"/>
      <c r="P83" s="181"/>
      <c r="Q83" s="181"/>
      <c r="R83" s="181"/>
      <c r="T83" s="286"/>
    </row>
    <row r="84" spans="2:20">
      <c r="F84" s="180"/>
      <c r="G84" s="181"/>
      <c r="H84" s="181"/>
      <c r="I84" s="181"/>
      <c r="J84" s="181"/>
      <c r="K84" s="181"/>
      <c r="L84" s="181"/>
      <c r="M84" s="181"/>
      <c r="N84" s="181"/>
      <c r="O84" s="181"/>
      <c r="P84" s="181"/>
      <c r="Q84" s="181"/>
      <c r="R84" s="181"/>
      <c r="T84" s="207"/>
    </row>
    <row r="85" spans="2:20">
      <c r="B85" s="272"/>
      <c r="C85" s="273"/>
      <c r="D85" s="273"/>
      <c r="E85" s="273"/>
      <c r="F85" s="274"/>
      <c r="G85" s="275"/>
      <c r="H85" s="275"/>
      <c r="I85" s="275"/>
      <c r="J85" s="275"/>
      <c r="K85" s="275"/>
      <c r="L85" s="275"/>
      <c r="M85" s="275"/>
      <c r="N85" s="275"/>
      <c r="O85" s="275"/>
      <c r="P85" s="275"/>
      <c r="Q85" s="275"/>
      <c r="R85" s="275"/>
      <c r="S85" s="276"/>
    </row>
    <row r="86" spans="2:20">
      <c r="B86" s="89"/>
      <c r="F86" s="180"/>
      <c r="G86" s="181"/>
      <c r="H86" s="181"/>
      <c r="I86" s="181"/>
      <c r="J86" s="181"/>
      <c r="K86" s="181"/>
      <c r="L86" s="181"/>
      <c r="M86" s="181"/>
      <c r="N86" s="181"/>
      <c r="O86" s="181"/>
      <c r="P86" s="181"/>
      <c r="Q86" s="181"/>
      <c r="R86" s="181"/>
      <c r="S86" s="91"/>
    </row>
    <row r="87" spans="2:20">
      <c r="B87" s="40" t="s">
        <v>178</v>
      </c>
      <c r="C87" s="29"/>
      <c r="D87" s="29"/>
      <c r="E87" s="29"/>
      <c r="F87" s="29"/>
      <c r="G87" s="51"/>
      <c r="H87" s="29"/>
      <c r="I87" s="29"/>
      <c r="J87" s="29"/>
      <c r="K87" s="29"/>
      <c r="L87" s="29"/>
      <c r="M87" s="29"/>
      <c r="N87" s="29"/>
      <c r="O87" s="29"/>
      <c r="P87" s="29"/>
      <c r="Q87" s="29"/>
      <c r="R87" s="29"/>
      <c r="S87" s="96"/>
    </row>
    <row r="88" spans="2:20">
      <c r="B88" s="89"/>
      <c r="F88" s="180"/>
      <c r="G88" s="181"/>
      <c r="H88" s="181"/>
      <c r="I88" s="182"/>
      <c r="J88" s="182"/>
      <c r="K88" s="182"/>
      <c r="L88" s="182"/>
      <c r="M88" s="182"/>
      <c r="N88" s="182"/>
      <c r="O88" s="182"/>
      <c r="P88" s="182"/>
      <c r="Q88" s="182"/>
      <c r="R88" s="182"/>
      <c r="S88" s="91"/>
    </row>
    <row r="89" spans="2:20">
      <c r="B89" s="89"/>
      <c r="C89" s="30"/>
      <c r="D89" s="30"/>
      <c r="E89" s="30"/>
      <c r="F89" s="325"/>
      <c r="G89" s="325"/>
      <c r="H89" s="326"/>
      <c r="I89" s="97" t="s">
        <v>145</v>
      </c>
      <c r="J89" s="25"/>
      <c r="K89" s="25"/>
      <c r="L89" s="25"/>
      <c r="M89" s="25"/>
      <c r="N89" s="327" t="s">
        <v>146</v>
      </c>
      <c r="O89" s="325"/>
      <c r="P89" s="325"/>
      <c r="Q89" s="325"/>
      <c r="R89" s="325"/>
      <c r="S89" s="91"/>
    </row>
    <row r="90" spans="2:20">
      <c r="B90" s="89"/>
      <c r="C90" s="30"/>
      <c r="D90" s="30"/>
      <c r="E90" s="30"/>
      <c r="F90" s="30"/>
      <c r="G90" s="30"/>
      <c r="H90" s="30" t="s">
        <v>64</v>
      </c>
      <c r="I90" s="98">
        <v>2024</v>
      </c>
      <c r="J90" s="30">
        <v>2025</v>
      </c>
      <c r="K90" s="30">
        <v>2026</v>
      </c>
      <c r="L90" s="30">
        <v>2027</v>
      </c>
      <c r="M90" s="30">
        <v>2028</v>
      </c>
      <c r="N90" s="99">
        <v>2029</v>
      </c>
      <c r="O90" s="30">
        <v>2030</v>
      </c>
      <c r="P90" s="30">
        <v>2031</v>
      </c>
      <c r="Q90" s="30">
        <v>2032</v>
      </c>
      <c r="R90" s="30">
        <v>2033</v>
      </c>
      <c r="S90" s="91"/>
    </row>
    <row r="91" spans="2:20">
      <c r="B91" s="89"/>
      <c r="F91" s="180"/>
      <c r="G91" s="180"/>
      <c r="I91" s="182"/>
      <c r="J91" s="182"/>
      <c r="K91" s="182"/>
      <c r="L91" s="182"/>
      <c r="M91" s="182"/>
      <c r="N91" s="182"/>
      <c r="O91" s="182"/>
      <c r="P91" s="182"/>
      <c r="Q91" s="182"/>
      <c r="R91" s="182"/>
      <c r="S91" s="91"/>
    </row>
    <row r="92" spans="2:20">
      <c r="B92" s="89"/>
      <c r="C92" s="74" t="s">
        <v>179</v>
      </c>
      <c r="E92" s="114"/>
      <c r="F92" s="183"/>
      <c r="G92" s="183"/>
      <c r="H92" s="114" t="s">
        <v>157</v>
      </c>
      <c r="I92" s="128">
        <f>I43</f>
        <v>121.53937744029385</v>
      </c>
      <c r="J92" s="128">
        <f t="shared" ref="J92:R92" si="29">J43</f>
        <v>145.66674630184755</v>
      </c>
      <c r="K92" s="128">
        <f t="shared" si="29"/>
        <v>164.83373826248413</v>
      </c>
      <c r="L92" s="128">
        <f t="shared" si="29"/>
        <v>178.4758734696527</v>
      </c>
      <c r="M92" s="128">
        <f t="shared" si="29"/>
        <v>193.38228817773756</v>
      </c>
      <c r="N92" s="128">
        <f t="shared" si="29"/>
        <v>200.13349060354398</v>
      </c>
      <c r="O92" s="128">
        <f t="shared" si="29"/>
        <v>205.67323613898708</v>
      </c>
      <c r="P92" s="128">
        <f t="shared" si="29"/>
        <v>211.35451809960659</v>
      </c>
      <c r="Q92" s="128">
        <f t="shared" si="29"/>
        <v>217.18078204419515</v>
      </c>
      <c r="R92" s="128">
        <f t="shared" si="29"/>
        <v>223.15555473932761</v>
      </c>
      <c r="S92" s="91"/>
    </row>
    <row r="93" spans="2:20">
      <c r="B93" s="89"/>
      <c r="C93" s="74" t="s">
        <v>166</v>
      </c>
      <c r="E93" s="114"/>
      <c r="F93" s="183"/>
      <c r="G93" s="183"/>
      <c r="H93" s="114" t="s">
        <v>157</v>
      </c>
      <c r="I93" s="128">
        <f>-I46</f>
        <v>-43.989897999999997</v>
      </c>
      <c r="J93" s="128">
        <f>-J46</f>
        <v>-43.989897999999997</v>
      </c>
      <c r="K93" s="128">
        <f>-K46</f>
        <v>-43.989897999999997</v>
      </c>
      <c r="L93" s="128">
        <f>-L46</f>
        <v>-43.989897999999997</v>
      </c>
      <c r="M93" s="128">
        <f>-M46</f>
        <v>-43.989897999999997</v>
      </c>
      <c r="N93" s="128">
        <f>-N46</f>
        <v>-43.989897999999997</v>
      </c>
      <c r="O93" s="128">
        <f>-O46</f>
        <v>-43.989897999999997</v>
      </c>
      <c r="P93" s="128">
        <f>-P46</f>
        <v>-43.989897999999997</v>
      </c>
      <c r="Q93" s="128">
        <f>-Q46</f>
        <v>-43.989897999999997</v>
      </c>
      <c r="R93" s="128">
        <f>-R46</f>
        <v>-43.989897999999997</v>
      </c>
      <c r="S93" s="91"/>
    </row>
    <row r="94" spans="2:20">
      <c r="B94" s="89"/>
      <c r="C94" s="74" t="s">
        <v>25</v>
      </c>
      <c r="E94" s="114"/>
      <c r="F94" s="183"/>
      <c r="G94" s="183"/>
      <c r="H94" s="114" t="s">
        <v>157</v>
      </c>
      <c r="I94" s="128">
        <f t="shared" ref="I94:R94" si="30">-I52</f>
        <v>-8.6038750656705236</v>
      </c>
      <c r="J94" s="128">
        <f t="shared" si="30"/>
        <v>-14.202443592443412</v>
      </c>
      <c r="K94" s="128">
        <f t="shared" si="30"/>
        <v>-18.610521662996192</v>
      </c>
      <c r="L94" s="128">
        <f t="shared" si="30"/>
        <v>-21.668634112716649</v>
      </c>
      <c r="M94" s="128">
        <f t="shared" si="30"/>
        <v>-25.05417364265702</v>
      </c>
      <c r="N94" s="128">
        <f t="shared" si="30"/>
        <v>-26.458462224850557</v>
      </c>
      <c r="O94" s="128">
        <f t="shared" si="30"/>
        <v>-27.572001153356904</v>
      </c>
      <c r="P94" s="128">
        <f t="shared" si="30"/>
        <v>-28.695508823905588</v>
      </c>
      <c r="Q94" s="128">
        <f t="shared" si="30"/>
        <v>-29.877812170606841</v>
      </c>
      <c r="R94" s="128">
        <f t="shared" si="30"/>
        <v>-31.071757617438632</v>
      </c>
      <c r="S94" s="91"/>
    </row>
    <row r="95" spans="2:20">
      <c r="B95" s="89"/>
      <c r="C95" s="74" t="s">
        <v>98</v>
      </c>
      <c r="E95" s="114"/>
      <c r="F95" s="183"/>
      <c r="G95" s="183"/>
      <c r="H95" s="114" t="s">
        <v>157</v>
      </c>
      <c r="I95" s="290">
        <f>I81</f>
        <v>-8.3699999999999992</v>
      </c>
      <c r="J95" s="290">
        <f t="shared" ref="J95:R95" si="31">J81</f>
        <v>-6.2774999999999999</v>
      </c>
      <c r="K95" s="290">
        <f t="shared" si="31"/>
        <v>-4.1850000000000005</v>
      </c>
      <c r="L95" s="290">
        <f t="shared" si="31"/>
        <v>-2.0925000000000007</v>
      </c>
      <c r="M95" s="290">
        <f t="shared" si="31"/>
        <v>0</v>
      </c>
      <c r="N95" s="290">
        <f t="shared" si="31"/>
        <v>0</v>
      </c>
      <c r="O95" s="290">
        <f t="shared" si="31"/>
        <v>0</v>
      </c>
      <c r="P95" s="290">
        <f t="shared" si="31"/>
        <v>0</v>
      </c>
      <c r="Q95" s="290">
        <f t="shared" si="31"/>
        <v>0</v>
      </c>
      <c r="R95" s="290">
        <f t="shared" si="31"/>
        <v>0</v>
      </c>
      <c r="S95" s="91"/>
    </row>
    <row r="96" spans="2:20">
      <c r="B96" s="89"/>
      <c r="C96" s="74" t="s">
        <v>24</v>
      </c>
      <c r="E96" s="114"/>
      <c r="F96" s="183"/>
      <c r="G96" s="183"/>
      <c r="H96" s="114" t="s">
        <v>157</v>
      </c>
      <c r="I96" s="128">
        <f>I79</f>
        <v>-33.021779448621551</v>
      </c>
      <c r="J96" s="128">
        <f>J79</f>
        <v>-34.227584731058407</v>
      </c>
      <c r="K96" s="128">
        <f>K79</f>
        <v>-35.43339001349527</v>
      </c>
      <c r="L96" s="128">
        <f>L79</f>
        <v>-36.639195295932133</v>
      </c>
      <c r="M96" s="128">
        <f>M79</f>
        <v>-37.845000578368989</v>
      </c>
      <c r="N96" s="128">
        <f>N79</f>
        <v>-37.900146905725848</v>
      </c>
      <c r="O96" s="128">
        <f>O79</f>
        <v>-38.658149843840363</v>
      </c>
      <c r="P96" s="128">
        <f>P79</f>
        <v>-39.431312840717169</v>
      </c>
      <c r="Q96" s="128">
        <f>Q79</f>
        <v>-40.219939097531515</v>
      </c>
      <c r="R96" s="128">
        <f>R79</f>
        <v>-41.02433787948214</v>
      </c>
      <c r="S96" s="91"/>
    </row>
    <row r="97" spans="2:20">
      <c r="B97" s="89"/>
      <c r="C97" s="8" t="s">
        <v>111</v>
      </c>
      <c r="D97" s="8"/>
      <c r="E97" s="184"/>
      <c r="F97" s="185"/>
      <c r="G97" s="185"/>
      <c r="H97" s="184" t="s">
        <v>157</v>
      </c>
      <c r="I97" s="122">
        <f>SUM(I92:I96)</f>
        <v>27.553824926001781</v>
      </c>
      <c r="J97" s="122">
        <f t="shared" ref="J97:R97" si="32">SUM(J92:J96)</f>
        <v>46.96931997834573</v>
      </c>
      <c r="K97" s="122">
        <f t="shared" si="32"/>
        <v>62.614928585992672</v>
      </c>
      <c r="L97" s="122">
        <f t="shared" si="32"/>
        <v>74.085646061003928</v>
      </c>
      <c r="M97" s="122">
        <f t="shared" si="32"/>
        <v>86.493215956711566</v>
      </c>
      <c r="N97" s="122">
        <f t="shared" si="32"/>
        <v>91.784983472967582</v>
      </c>
      <c r="O97" s="122">
        <f t="shared" si="32"/>
        <v>95.45318714178984</v>
      </c>
      <c r="P97" s="122">
        <f t="shared" si="32"/>
        <v>99.237798434983858</v>
      </c>
      <c r="Q97" s="122">
        <f t="shared" si="32"/>
        <v>103.09313277605682</v>
      </c>
      <c r="R97" s="122">
        <f t="shared" si="32"/>
        <v>107.06956124240685</v>
      </c>
      <c r="S97" s="91"/>
      <c r="T97" s="186"/>
    </row>
    <row r="98" spans="2:20">
      <c r="B98" s="89"/>
      <c r="E98" s="114"/>
      <c r="F98" s="183"/>
      <c r="G98" s="183"/>
      <c r="H98" s="183"/>
      <c r="I98" s="183"/>
      <c r="J98" s="183"/>
      <c r="K98" s="183"/>
      <c r="L98" s="183"/>
      <c r="M98" s="183"/>
      <c r="N98" s="183"/>
      <c r="O98" s="183"/>
      <c r="P98" s="183"/>
      <c r="Q98" s="92"/>
      <c r="R98" s="183"/>
      <c r="S98" s="91"/>
    </row>
    <row r="99" spans="2:20">
      <c r="B99" s="89"/>
      <c r="C99" s="74" t="s">
        <v>118</v>
      </c>
      <c r="E99" s="33">
        <v>0.15</v>
      </c>
      <c r="H99" s="75"/>
      <c r="I99" s="132"/>
      <c r="J99" s="187"/>
      <c r="O99" s="100" t="s">
        <v>180</v>
      </c>
      <c r="Q99" s="132"/>
      <c r="R99" s="133">
        <f>R97*(1+E100)/(E99-E100)</f>
        <v>840.08424974811521</v>
      </c>
      <c r="S99" s="188"/>
    </row>
    <row r="100" spans="2:20">
      <c r="B100" s="89"/>
      <c r="C100" s="74" t="s">
        <v>119</v>
      </c>
      <c r="E100" s="33">
        <v>0.02</v>
      </c>
      <c r="H100" s="75"/>
      <c r="I100" s="132"/>
      <c r="J100" s="187"/>
      <c r="O100" s="11"/>
      <c r="Q100" s="132"/>
      <c r="R100" s="189"/>
      <c r="S100" s="91"/>
    </row>
    <row r="101" spans="2:20">
      <c r="B101" s="89"/>
      <c r="C101" s="74" t="s">
        <v>181</v>
      </c>
      <c r="E101" s="190">
        <f>D52</f>
        <v>0.24</v>
      </c>
      <c r="I101" s="132"/>
      <c r="J101" s="132"/>
      <c r="K101" s="132"/>
      <c r="L101" s="132"/>
      <c r="M101" s="132"/>
      <c r="N101" s="132"/>
      <c r="O101" s="100" t="s">
        <v>182</v>
      </c>
      <c r="Q101" s="132"/>
      <c r="R101" s="133">
        <f>R99*R103</f>
        <v>207.65597839159602</v>
      </c>
      <c r="S101" s="91"/>
    </row>
    <row r="102" spans="2:20">
      <c r="B102" s="89"/>
      <c r="F102" s="191"/>
      <c r="I102" s="132"/>
      <c r="S102" s="91"/>
    </row>
    <row r="103" spans="2:20">
      <c r="B103" s="89"/>
      <c r="C103" s="74" t="s">
        <v>183</v>
      </c>
      <c r="F103" s="191"/>
      <c r="I103" s="192">
        <f>1/(1+$E$99)^I104</f>
        <v>0.86956521739130443</v>
      </c>
      <c r="J103" s="192">
        <f t="shared" ref="J103:R103" si="33">1/(1+$E$99)^J104</f>
        <v>0.7561436672967865</v>
      </c>
      <c r="K103" s="192">
        <f>1/(1+$E$99)^K104</f>
        <v>0.65751623243198831</v>
      </c>
      <c r="L103" s="192">
        <f t="shared" si="33"/>
        <v>0.57175324559303342</v>
      </c>
      <c r="M103" s="192">
        <f t="shared" si="33"/>
        <v>0.49717673529828987</v>
      </c>
      <c r="N103" s="192">
        <f>1/(1+$E$99)^N104</f>
        <v>0.43232759591155645</v>
      </c>
      <c r="O103" s="192">
        <f t="shared" si="33"/>
        <v>0.37593703992309269</v>
      </c>
      <c r="P103" s="192">
        <f t="shared" si="33"/>
        <v>0.32690177384616753</v>
      </c>
      <c r="Q103" s="192">
        <f t="shared" si="33"/>
        <v>0.28426241204014574</v>
      </c>
      <c r="R103" s="192">
        <f>1/(1+$E$99)^R104</f>
        <v>0.24718470612186585</v>
      </c>
      <c r="S103" s="91"/>
      <c r="T103" s="193"/>
    </row>
    <row r="104" spans="2:20">
      <c r="B104" s="89"/>
      <c r="C104" s="74" t="s">
        <v>184</v>
      </c>
      <c r="I104" s="119">
        <v>1</v>
      </c>
      <c r="J104" s="119">
        <v>2</v>
      </c>
      <c r="K104" s="119">
        <v>3</v>
      </c>
      <c r="L104" s="119">
        <v>4</v>
      </c>
      <c r="M104" s="119">
        <v>5</v>
      </c>
      <c r="N104" s="119">
        <v>6</v>
      </c>
      <c r="O104" s="119">
        <v>7</v>
      </c>
      <c r="P104" s="119">
        <v>8</v>
      </c>
      <c r="Q104" s="119">
        <v>9</v>
      </c>
      <c r="R104" s="119">
        <v>10</v>
      </c>
      <c r="S104" s="91"/>
    </row>
    <row r="105" spans="2:20">
      <c r="B105" s="89"/>
      <c r="C105" s="8" t="s">
        <v>114</v>
      </c>
      <c r="D105" s="8"/>
      <c r="E105" s="8"/>
      <c r="F105" s="194"/>
      <c r="G105" s="194"/>
      <c r="H105" s="194"/>
      <c r="I105" s="122">
        <f t="shared" ref="I105:R105" si="34">I97*I103</f>
        <v>23.959847761740683</v>
      </c>
      <c r="J105" s="122">
        <f t="shared" si="34"/>
        <v>35.51555385886256</v>
      </c>
      <c r="K105" s="122">
        <f t="shared" si="34"/>
        <v>41.170331937859906</v>
      </c>
      <c r="L105" s="122">
        <f t="shared" si="34"/>
        <v>42.358708587235725</v>
      </c>
      <c r="M105" s="122">
        <f t="shared" si="34"/>
        <v>43.002414734807807</v>
      </c>
      <c r="N105" s="122">
        <f t="shared" si="34"/>
        <v>39.681181245650016</v>
      </c>
      <c r="O105" s="122">
        <f t="shared" si="34"/>
        <v>35.884388625309484</v>
      </c>
      <c r="P105" s="122">
        <f t="shared" si="34"/>
        <v>32.441012340984649</v>
      </c>
      <c r="Q105" s="122">
        <f t="shared" si="34"/>
        <v>29.305502587696918</v>
      </c>
      <c r="R105" s="122">
        <f t="shared" si="34"/>
        <v>26.465958030301454</v>
      </c>
      <c r="S105" s="91"/>
    </row>
    <row r="106" spans="2:20">
      <c r="B106" s="89"/>
      <c r="C106" s="11"/>
      <c r="D106" s="11"/>
      <c r="E106" s="11"/>
      <c r="I106" s="124"/>
      <c r="J106" s="124"/>
      <c r="K106" s="124"/>
      <c r="L106" s="124"/>
      <c r="M106" s="124"/>
      <c r="N106" s="124"/>
      <c r="O106" s="124"/>
      <c r="P106" s="124"/>
      <c r="Q106" s="124"/>
      <c r="R106" s="277"/>
      <c r="S106" s="91"/>
    </row>
    <row r="107" spans="2:20">
      <c r="B107" s="89"/>
      <c r="C107" s="11"/>
      <c r="D107" s="11"/>
      <c r="E107" s="11"/>
      <c r="I107" s="124"/>
      <c r="J107" s="124"/>
      <c r="K107" s="124"/>
      <c r="L107" s="124"/>
      <c r="M107" s="124"/>
      <c r="N107" s="124"/>
      <c r="O107" s="124"/>
      <c r="P107" s="124"/>
      <c r="Q107" s="124"/>
      <c r="R107"/>
      <c r="S107" s="91"/>
    </row>
    <row r="108" spans="2:20">
      <c r="B108" s="89"/>
      <c r="C108" s="308" t="s">
        <v>185</v>
      </c>
      <c r="D108" s="308"/>
      <c r="E108" s="309"/>
      <c r="F108" s="103"/>
      <c r="G108"/>
      <c r="H108"/>
      <c r="I108"/>
      <c r="J108" s="195"/>
      <c r="K108" s="195"/>
      <c r="L108" s="195"/>
      <c r="M108" s="195"/>
      <c r="N108" s="195"/>
      <c r="O108" s="195"/>
      <c r="P108" s="195"/>
      <c r="Q108" s="195"/>
      <c r="R108"/>
      <c r="S108" s="91"/>
    </row>
    <row r="109" spans="2:20">
      <c r="B109" s="89"/>
      <c r="C109" s="74" t="s">
        <v>120</v>
      </c>
      <c r="D109" s="103" t="s">
        <v>157</v>
      </c>
      <c r="E109" s="197">
        <f>SUM(I105:R105,R101)</f>
        <v>557.44087810204519</v>
      </c>
      <c r="F109" s="198"/>
      <c r="G109"/>
      <c r="H109"/>
      <c r="I109"/>
      <c r="J109" s="119"/>
      <c r="S109" s="91"/>
    </row>
    <row r="110" spans="2:20">
      <c r="B110" s="89"/>
      <c r="C110" s="74" t="s">
        <v>121</v>
      </c>
      <c r="D110" s="103" t="s">
        <v>157</v>
      </c>
      <c r="E110" s="28">
        <f>$D$61</f>
        <v>756.1</v>
      </c>
      <c r="F110" s="103"/>
      <c r="G110"/>
      <c r="H110"/>
      <c r="I110"/>
      <c r="S110" s="91"/>
    </row>
    <row r="111" spans="2:20">
      <c r="B111" s="89"/>
      <c r="C111" s="8" t="s">
        <v>123</v>
      </c>
      <c r="D111" s="184" t="s">
        <v>157</v>
      </c>
      <c r="E111" s="199">
        <f>SUM(E109:E110)</f>
        <v>1313.5408781020451</v>
      </c>
      <c r="F111" s="103"/>
      <c r="G111"/>
      <c r="H111"/>
      <c r="I111"/>
      <c r="S111" s="23"/>
    </row>
    <row r="112" spans="2:20">
      <c r="B112" s="89"/>
      <c r="C112"/>
      <c r="D112"/>
      <c r="E112"/>
      <c r="F112" s="103"/>
      <c r="G112"/>
      <c r="H112"/>
      <c r="I112"/>
      <c r="S112" s="23"/>
    </row>
    <row r="113" spans="2:19">
      <c r="B113" s="147"/>
      <c r="C113" s="152"/>
      <c r="D113" s="152"/>
      <c r="E113" s="152"/>
      <c r="F113" s="152"/>
      <c r="G113" s="306"/>
      <c r="H113" s="306"/>
      <c r="I113" s="306"/>
      <c r="J113" s="152"/>
      <c r="K113" s="152"/>
      <c r="L113" s="152"/>
      <c r="M113" s="152"/>
      <c r="N113" s="152"/>
      <c r="O113" s="152"/>
      <c r="P113" s="152"/>
      <c r="Q113" s="152"/>
      <c r="R113" s="152"/>
      <c r="S113" s="150"/>
    </row>
    <row r="114" spans="2:19">
      <c r="I114"/>
      <c r="J114"/>
      <c r="K114"/>
      <c r="L114"/>
      <c r="M114"/>
      <c r="N114"/>
      <c r="O114"/>
    </row>
    <row r="115" spans="2:19">
      <c r="I115"/>
      <c r="J115"/>
      <c r="K115"/>
      <c r="L115"/>
      <c r="M115"/>
      <c r="N115"/>
      <c r="O115"/>
    </row>
    <row r="116" spans="2:19">
      <c r="F116" s="201"/>
      <c r="G116" s="201"/>
      <c r="H116" s="201"/>
      <c r="I116" s="201"/>
    </row>
    <row r="117" spans="2:19">
      <c r="D117" s="202"/>
      <c r="E117" s="202"/>
      <c r="F117" s="167"/>
      <c r="G117" s="167"/>
      <c r="H117" s="167"/>
      <c r="I117" s="167"/>
    </row>
    <row r="118" spans="2:19">
      <c r="C118" s="201"/>
    </row>
  </sheetData>
  <mergeCells count="6">
    <mergeCell ref="F12:H12"/>
    <mergeCell ref="N12:R12"/>
    <mergeCell ref="F72:H72"/>
    <mergeCell ref="N72:R72"/>
    <mergeCell ref="F89:H89"/>
    <mergeCell ref="N89:R8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3155073D5EFA4EAF949B06A2D25F86" ma:contentTypeVersion="17" ma:contentTypeDescription="Create a new document." ma:contentTypeScope="" ma:versionID="25cbac28894b3edb3c9acfa24f36409e">
  <xsd:schema xmlns:xsd="http://www.w3.org/2001/XMLSchema" xmlns:xs="http://www.w3.org/2001/XMLSchema" xmlns:p="http://schemas.microsoft.com/office/2006/metadata/properties" xmlns:ns2="9d405998-20ef-4968-8c21-a9fde52514b0" xmlns:ns3="565ed84c-843d-451e-be8f-016372375ff2" targetNamespace="http://schemas.microsoft.com/office/2006/metadata/properties" ma:root="true" ma:fieldsID="bdcf485f9b127b198fd5f1a888f79d5e" ns2:_="" ns3:_="">
    <xsd:import namespace="9d405998-20ef-4968-8c21-a9fde52514b0"/>
    <xsd:import namespace="565ed84c-843d-451e-be8f-016372375f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405998-20ef-4968-8c21-a9fde5251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f3091f-f8a8-404b-a3c3-ffab4ac5d2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5ed84c-843d-451e-be8f-016372375ff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626464a-d679-44d9-abb8-4b3256e122c4}" ma:internalName="TaxCatchAll" ma:showField="CatchAllData" ma:web="565ed84c-843d-451e-be8f-016372375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405998-20ef-4968-8c21-a9fde52514b0">
      <Terms xmlns="http://schemas.microsoft.com/office/infopath/2007/PartnerControls"/>
    </lcf76f155ced4ddcb4097134ff3c332f>
    <TaxCatchAll xmlns="565ed84c-843d-451e-be8f-016372375f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8380C9-DBD5-4863-B734-CC4455101E18}"/>
</file>

<file path=customXml/itemProps2.xml><?xml version="1.0" encoding="utf-8"?>
<ds:datastoreItem xmlns:ds="http://schemas.openxmlformats.org/officeDocument/2006/customXml" ds:itemID="{6D280139-6770-41E2-9CF6-A7784A45BF87}"/>
</file>

<file path=customXml/itemProps3.xml><?xml version="1.0" encoding="utf-8"?>
<ds:datastoreItem xmlns:ds="http://schemas.openxmlformats.org/officeDocument/2006/customXml" ds:itemID="{01BFA279-214F-46EB-A744-42A76FFEE7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2019-03-17T07:27:54Z</dcterms:created>
  <dcterms:modified xsi:type="dcterms:W3CDTF">2026-06-28T01:00:37Z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0x010100DB3155073D5EFA4EAF949B06A2D25F86</vt:lpwstr>
  </property>
  <property fmtid="{D5CDD505-2E9C-101B-9397-08002B2CF9AE}" pid="3" name="MediaServiceImageTags">
    <vt:lpwstr/>
  </property>
</Properties>
</file>