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ssa724_ic_ac_uk/Documents/ACV Group 5/Rightmove/"/>
    </mc:Choice>
  </mc:AlternateContent>
  <xr:revisionPtr revIDLastSave="0" documentId="8_{A5CDBFE1-6A62-4258-9B35-4633C0B6A255}" xr6:coauthVersionLast="47" xr6:coauthVersionMax="47" xr10:uidLastSave="{00000000-0000-0000-0000-000000000000}"/>
  <bookViews>
    <workbookView xWindow="0" yWindow="660" windowWidth="27300" windowHeight="14780" firstSheet="2" activeTab="2" xr2:uid="{00000000-000D-0000-FFFF-FFFF00000000}"/>
  </bookViews>
  <sheets>
    <sheet name="WACC" sheetId="8" r:id="rId1"/>
    <sheet name="DCF" sheetId="7" r:id="rId2"/>
    <sheet name="Relative Comps" sheetId="10" r:id="rId3"/>
    <sheet name="Recommendation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0" l="1"/>
  <c r="D18" i="10"/>
  <c r="C41" i="10"/>
  <c r="B41" i="10"/>
  <c r="C40" i="10"/>
  <c r="B28" i="10"/>
  <c r="B25" i="10"/>
  <c r="C18" i="10"/>
  <c r="B18" i="10"/>
  <c r="C17" i="10"/>
  <c r="P5" i="9" s="1"/>
  <c r="D17" i="10"/>
  <c r="S5" i="9" s="1"/>
  <c r="B17" i="10"/>
  <c r="V5" i="9" s="1"/>
  <c r="F17" i="7"/>
  <c r="B60" i="9"/>
  <c r="V8" i="9"/>
  <c r="V7" i="9"/>
  <c r="S7" i="9"/>
  <c r="S6" i="9"/>
  <c r="P8" i="9"/>
  <c r="P7" i="9"/>
  <c r="P6" i="9"/>
  <c r="D8" i="9"/>
  <c r="B8" i="9"/>
  <c r="C8" i="9"/>
  <c r="D7" i="9"/>
  <c r="C7" i="9"/>
  <c r="B7" i="9"/>
  <c r="D6" i="9"/>
  <c r="C6" i="9"/>
  <c r="B6" i="9"/>
  <c r="D5" i="9"/>
  <c r="C5" i="9"/>
  <c r="B5" i="9"/>
  <c r="P9" i="9" l="1"/>
  <c r="B11" i="9" s="1"/>
  <c r="D10" i="9"/>
  <c r="D9" i="9"/>
  <c r="C10" i="9"/>
  <c r="C9" i="9"/>
  <c r="B10" i="9"/>
  <c r="B20" i="9" s="1"/>
  <c r="B9" i="9"/>
  <c r="B19" i="9" s="1"/>
  <c r="B18" i="9"/>
  <c r="B17" i="9"/>
  <c r="B16" i="9"/>
  <c r="C53" i="9"/>
  <c r="D15" i="9"/>
  <c r="A20" i="9"/>
  <c r="A19" i="9"/>
  <c r="A18" i="9"/>
  <c r="A17" i="9"/>
  <c r="A16" i="9"/>
  <c r="A15" i="9"/>
  <c r="F10" i="9"/>
  <c r="F7" i="9"/>
  <c r="E7" i="9"/>
  <c r="E32" i="7"/>
  <c r="E37" i="7" s="1"/>
  <c r="E38" i="7" s="1"/>
  <c r="E29" i="7"/>
  <c r="E35" i="7" s="1"/>
  <c r="F11" i="8"/>
  <c r="F16" i="8" s="1"/>
  <c r="F17" i="8" s="1"/>
  <c r="F48" i="7"/>
  <c r="G46" i="7"/>
  <c r="G48" i="7" s="1"/>
  <c r="J100" i="7"/>
  <c r="I100" i="7"/>
  <c r="H100" i="7"/>
  <c r="G100" i="7"/>
  <c r="F100" i="7"/>
  <c r="F8" i="8"/>
  <c r="F14" i="8" s="1"/>
  <c r="F113" i="7"/>
  <c r="F111" i="7"/>
  <c r="F110" i="7"/>
  <c r="J102" i="7"/>
  <c r="I102" i="7"/>
  <c r="H102" i="7"/>
  <c r="G102" i="7"/>
  <c r="F102" i="7"/>
  <c r="Q81" i="7"/>
  <c r="R81" i="7" s="1"/>
  <c r="S81" i="7" s="1"/>
  <c r="T81" i="7" s="1"/>
  <c r="U81" i="7" s="1"/>
  <c r="U68" i="7"/>
  <c r="T68" i="7"/>
  <c r="S68" i="7"/>
  <c r="R68" i="7"/>
  <c r="Q68" i="7"/>
  <c r="P61" i="7"/>
  <c r="O61" i="7"/>
  <c r="N61" i="7"/>
  <c r="M61" i="7"/>
  <c r="L61" i="7"/>
  <c r="K61" i="7"/>
  <c r="J61" i="7"/>
  <c r="I61" i="7"/>
  <c r="H61" i="7"/>
  <c r="G61" i="7"/>
  <c r="F61" i="7"/>
  <c r="Q59" i="7"/>
  <c r="F103" i="7" s="1"/>
  <c r="P52" i="7"/>
  <c r="P55" i="7" s="1"/>
  <c r="O52" i="7"/>
  <c r="O55" i="7" s="1"/>
  <c r="N52" i="7"/>
  <c r="N55" i="7" s="1"/>
  <c r="M52" i="7"/>
  <c r="M55" i="7" s="1"/>
  <c r="L52" i="7"/>
  <c r="L55" i="7" s="1"/>
  <c r="K52" i="7"/>
  <c r="K55" i="7" s="1"/>
  <c r="J52" i="7"/>
  <c r="J55" i="7" s="1"/>
  <c r="I52" i="7"/>
  <c r="I55" i="7" s="1"/>
  <c r="H52" i="7"/>
  <c r="H55" i="7" s="1"/>
  <c r="G52" i="7"/>
  <c r="G55" i="7" s="1"/>
  <c r="F52" i="7"/>
  <c r="F55" i="7" s="1"/>
  <c r="Q50" i="7"/>
  <c r="R50" i="7" s="1"/>
  <c r="S9" i="9" l="1"/>
  <c r="C11" i="9" s="1"/>
  <c r="E11" i="9"/>
  <c r="B21" i="9"/>
  <c r="E53" i="9"/>
  <c r="D53" i="9"/>
  <c r="D16" i="9"/>
  <c r="F6" i="9"/>
  <c r="C16" i="9"/>
  <c r="C54" i="9"/>
  <c r="E54" i="9" s="1"/>
  <c r="D17" i="9"/>
  <c r="C17" i="9"/>
  <c r="D18" i="9"/>
  <c r="F8" i="9"/>
  <c r="C18" i="9"/>
  <c r="D19" i="9"/>
  <c r="C55" i="9"/>
  <c r="E55" i="9" s="1"/>
  <c r="D20" i="9"/>
  <c r="F9" i="9"/>
  <c r="C19" i="9"/>
  <c r="C20" i="9"/>
  <c r="D55" i="9"/>
  <c r="B15" i="9"/>
  <c r="C15" i="9"/>
  <c r="E10" i="9"/>
  <c r="F5" i="9"/>
  <c r="E8" i="9"/>
  <c r="E5" i="9"/>
  <c r="E6" i="9"/>
  <c r="E9" i="9"/>
  <c r="H46" i="7"/>
  <c r="H64" i="7"/>
  <c r="I64" i="7"/>
  <c r="G64" i="7"/>
  <c r="F64" i="7"/>
  <c r="J64" i="7"/>
  <c r="K64" i="7"/>
  <c r="L64" i="7"/>
  <c r="M64" i="7"/>
  <c r="N64" i="7"/>
  <c r="O64" i="7"/>
  <c r="P64" i="7"/>
  <c r="Q52" i="7"/>
  <c r="R59" i="7"/>
  <c r="R52" i="7"/>
  <c r="S50" i="7"/>
  <c r="D54" i="9" l="1"/>
  <c r="D21" i="9"/>
  <c r="I46" i="7"/>
  <c r="H48" i="7"/>
  <c r="Q55" i="7"/>
  <c r="Q57" i="7" s="1"/>
  <c r="Q61" i="7" s="1"/>
  <c r="Q63" i="7" s="1"/>
  <c r="V6" i="9" s="1"/>
  <c r="V9" i="9" s="1"/>
  <c r="D11" i="9" s="1"/>
  <c r="Q88" i="7"/>
  <c r="F104" i="7" s="1"/>
  <c r="S59" i="7"/>
  <c r="G103" i="7"/>
  <c r="T50" i="7"/>
  <c r="S52" i="7"/>
  <c r="R55" i="7"/>
  <c r="R57" i="7" s="1"/>
  <c r="R61" i="7" s="1"/>
  <c r="R63" i="7" s="1"/>
  <c r="R64" i="7" s="1"/>
  <c r="R88" i="7"/>
  <c r="G104" i="7" s="1"/>
  <c r="F11" i="9" l="1"/>
  <c r="C56" i="9"/>
  <c r="C21" i="9"/>
  <c r="J46" i="7"/>
  <c r="I48" i="7"/>
  <c r="Q64" i="7"/>
  <c r="F101" i="7"/>
  <c r="F106" i="7" s="1"/>
  <c r="F107" i="7" s="1"/>
  <c r="Q72" i="7"/>
  <c r="Q79" i="7" s="1"/>
  <c r="Q82" i="7" s="1"/>
  <c r="Q86" i="7" s="1"/>
  <c r="H103" i="7"/>
  <c r="T59" i="7"/>
  <c r="R72" i="7"/>
  <c r="R79" i="7" s="1"/>
  <c r="R82" i="7" s="1"/>
  <c r="R86" i="7" s="1"/>
  <c r="G101" i="7"/>
  <c r="G106" i="7" s="1"/>
  <c r="G107" i="7" s="1"/>
  <c r="S55" i="7"/>
  <c r="S57" i="7" s="1"/>
  <c r="S61" i="7" s="1"/>
  <c r="S63" i="7" s="1"/>
  <c r="S64" i="7" s="1"/>
  <c r="S88" i="7"/>
  <c r="H104" i="7" s="1"/>
  <c r="U50" i="7"/>
  <c r="U52" i="7" s="1"/>
  <c r="T52" i="7"/>
  <c r="E56" i="9" l="1"/>
  <c r="D58" i="9"/>
  <c r="D56" i="9"/>
  <c r="K46" i="7"/>
  <c r="J48" i="7"/>
  <c r="I103" i="7"/>
  <c r="U59" i="7"/>
  <c r="J103" i="7" s="1"/>
  <c r="T55" i="7"/>
  <c r="T57" i="7" s="1"/>
  <c r="T61" i="7" s="1"/>
  <c r="T63" i="7" s="1"/>
  <c r="T64" i="7" s="1"/>
  <c r="T88" i="7"/>
  <c r="I104" i="7" s="1"/>
  <c r="U55" i="7"/>
  <c r="U57" i="7" s="1"/>
  <c r="U88" i="7"/>
  <c r="J104" i="7" s="1"/>
  <c r="S72" i="7"/>
  <c r="S79" i="7" s="1"/>
  <c r="S82" i="7" s="1"/>
  <c r="S86" i="7" s="1"/>
  <c r="H101" i="7"/>
  <c r="H106" i="7" s="1"/>
  <c r="H107" i="7" s="1"/>
  <c r="L46" i="7" l="1"/>
  <c r="K48" i="7"/>
  <c r="U61" i="7"/>
  <c r="U63" i="7" s="1"/>
  <c r="U64" i="7" s="1"/>
  <c r="I101" i="7"/>
  <c r="I106" i="7" s="1"/>
  <c r="I107" i="7" s="1"/>
  <c r="T72" i="7"/>
  <c r="T79" i="7" s="1"/>
  <c r="T82" i="7" s="1"/>
  <c r="T86" i="7" s="1"/>
  <c r="M46" i="7" l="1"/>
  <c r="L48" i="7"/>
  <c r="J101" i="7"/>
  <c r="J106" i="7" s="1"/>
  <c r="F116" i="7" s="1"/>
  <c r="F117" i="7" s="1"/>
  <c r="U72" i="7"/>
  <c r="U79" i="7" s="1"/>
  <c r="U82" i="7" s="1"/>
  <c r="U86" i="7" s="1"/>
  <c r="N46" i="7" l="1"/>
  <c r="M48" i="7"/>
  <c r="J107" i="7"/>
  <c r="F109" i="7" s="1"/>
  <c r="F112" i="7" s="1"/>
  <c r="F114" i="7" s="1"/>
  <c r="D59" i="9" s="1"/>
  <c r="Y101" i="7" l="1"/>
  <c r="Y111" i="7"/>
  <c r="O46" i="7"/>
  <c r="N48" i="7"/>
  <c r="F118" i="7"/>
  <c r="P46" i="7" l="1"/>
  <c r="O48" i="7"/>
  <c r="Q46" i="7" l="1"/>
  <c r="P48" i="7"/>
  <c r="R46" i="7" l="1"/>
  <c r="Q48" i="7"/>
  <c r="S46" i="7" l="1"/>
  <c r="R48" i="7"/>
  <c r="T46" i="7" l="1"/>
  <c r="S48" i="7"/>
  <c r="U46" i="7" l="1"/>
  <c r="U48" i="7" s="1"/>
  <c r="T48" i="7"/>
  <c r="E58" i="9"/>
</calcChain>
</file>

<file path=xl/sharedStrings.xml><?xml version="1.0" encoding="utf-8"?>
<sst xmlns="http://schemas.openxmlformats.org/spreadsheetml/2006/main" count="458" uniqueCount="219">
  <si>
    <t>Capital Structure (as of S2 2025)</t>
  </si>
  <si>
    <t>Equity</t>
  </si>
  <si>
    <t>Preferred Equity</t>
  </si>
  <si>
    <t>Debt</t>
  </si>
  <si>
    <t>Risk Free Rate</t>
  </si>
  <si>
    <t>Levered Beta</t>
  </si>
  <si>
    <t>x Country Premium</t>
  </si>
  <si>
    <t xml:space="preserve">  Expected Market Return</t>
  </si>
  <si>
    <t>- Risk Free Rate</t>
  </si>
  <si>
    <t>Check</t>
  </si>
  <si>
    <t>Cost of Equity</t>
  </si>
  <si>
    <t>WACC</t>
  </si>
  <si>
    <t>KEY ASSUMPTIONS</t>
  </si>
  <si>
    <t>Unit</t>
  </si>
  <si>
    <t>Assumption</t>
  </si>
  <si>
    <t>Revenue assumptions</t>
  </si>
  <si>
    <t>Revenue Growth %</t>
  </si>
  <si>
    <t>%</t>
  </si>
  <si>
    <t>Average of 2021-2025</t>
  </si>
  <si>
    <t>SG&amp;A %</t>
  </si>
  <si>
    <t>Actively investing in product and headcount, average of past 2 years % of revenue</t>
  </si>
  <si>
    <t>D&amp;A %</t>
  </si>
  <si>
    <t>growth</t>
  </si>
  <si>
    <t>Income tax rate</t>
  </si>
  <si>
    <t>Average of past 2 years</t>
  </si>
  <si>
    <t>Working Capital assumptions</t>
  </si>
  <si>
    <t>Tax Rate</t>
  </si>
  <si>
    <t>CapEx</t>
  </si>
  <si>
    <t>% of Rev</t>
  </si>
  <si>
    <t>Change in WC</t>
  </si>
  <si>
    <t>for Rightmove's business model, a neutral WC makes sense</t>
  </si>
  <si>
    <t>WACC assumptions</t>
  </si>
  <si>
    <t>Given from prior calc</t>
  </si>
  <si>
    <t>Terminal Growth Rate</t>
  </si>
  <si>
    <t>UK long-run nominal GDP</t>
  </si>
  <si>
    <t>Equity assumptions</t>
  </si>
  <si>
    <t>Cash &amp; Equivalents</t>
  </si>
  <si>
    <t>£</t>
  </si>
  <si>
    <t>m</t>
  </si>
  <si>
    <t>Bloomberg snapshot</t>
  </si>
  <si>
    <t>Total Debt</t>
  </si>
  <si>
    <t>Shares Outstanding</t>
  </si>
  <si>
    <t>m of shares</t>
  </si>
  <si>
    <t>B/S FY2025</t>
  </si>
  <si>
    <t>INCOME STATEMENT</t>
  </si>
  <si>
    <t>Actual</t>
  </si>
  <si>
    <t>Estimates</t>
  </si>
  <si>
    <t>FY</t>
  </si>
  <si>
    <t>E</t>
  </si>
  <si>
    <t>Revenue</t>
  </si>
  <si>
    <t>Other Revenue</t>
  </si>
  <si>
    <t xml:space="preserve">  Total Revenue</t>
  </si>
  <si>
    <t>Cost Of Goods Sold</t>
  </si>
  <si>
    <t xml:space="preserve">  Gross Profit</t>
  </si>
  <si>
    <t>Selling General &amp; Admin Exp.</t>
  </si>
  <si>
    <t>R &amp; D Exp.</t>
  </si>
  <si>
    <t>Depreciation &amp; Amort.</t>
  </si>
  <si>
    <t>Other Operating Expense/(Income)</t>
  </si>
  <si>
    <t xml:space="preserve">  Operating Expense., Total</t>
  </si>
  <si>
    <t xml:space="preserve">  Operating Income (EBIT)</t>
  </si>
  <si>
    <t>EBIT Margin</t>
  </si>
  <si>
    <t>Interest Expense</t>
  </si>
  <si>
    <t xml:space="preserve">-   </t>
  </si>
  <si>
    <t xml:space="preserve"> -   </t>
  </si>
  <si>
    <t>Interest Income</t>
  </si>
  <si>
    <t xml:space="preserve">  Net Interest Exp.</t>
  </si>
  <si>
    <t>Currency Exchange (Gains) Loss</t>
  </si>
  <si>
    <t>Other Non-Operating Exp. (Inc)</t>
  </si>
  <si>
    <t xml:space="preserve">  EBT Excl. Unusual Items</t>
  </si>
  <si>
    <t>Impairment of Goodwill</t>
  </si>
  <si>
    <t>Gain (Loss) On Sale Of Assets</t>
  </si>
  <si>
    <t>Asset Writedown</t>
  </si>
  <si>
    <t>Legal Settlements</t>
  </si>
  <si>
    <t>Other Unusual Items</t>
  </si>
  <si>
    <t xml:space="preserve">  EBT Incl. Unusual Items</t>
  </si>
  <si>
    <t>Income Tax Expense</t>
  </si>
  <si>
    <t xml:space="preserve">  Earnings from Cont. Ops.</t>
  </si>
  <si>
    <t>Extraord. Item &amp; Account. Change</t>
  </si>
  <si>
    <t>Minority Int. in Earnings</t>
  </si>
  <si>
    <t xml:space="preserve">  Net Income</t>
  </si>
  <si>
    <t>DCF VALUATION</t>
  </si>
  <si>
    <t>SENSITIVITY ANALYSIS</t>
  </si>
  <si>
    <t> </t>
  </si>
  <si>
    <t>Year</t>
  </si>
  <si>
    <t>EBIT</t>
  </si>
  <si>
    <t>Share price in pounds</t>
  </si>
  <si>
    <t>TV</t>
  </si>
  <si>
    <t>1,50%</t>
  </si>
  <si>
    <t>D&amp;A</t>
  </si>
  <si>
    <t>2,00%</t>
  </si>
  <si>
    <t>2,50%</t>
  </si>
  <si>
    <t>3,00%</t>
  </si>
  <si>
    <t>FCFF</t>
  </si>
  <si>
    <t>3,50%</t>
  </si>
  <si>
    <t>Discount</t>
  </si>
  <si>
    <t>Revenue Growth/SG&amp;A:</t>
  </si>
  <si>
    <t>Enterprise Value</t>
  </si>
  <si>
    <t>Revenue Growth</t>
  </si>
  <si>
    <t>4,00%</t>
  </si>
  <si>
    <t>6,00%</t>
  </si>
  <si>
    <t>8,00%</t>
  </si>
  <si>
    <t>10,00%</t>
  </si>
  <si>
    <t>12,00%</t>
  </si>
  <si>
    <t>Equity Value</t>
  </si>
  <si>
    <t>SG&amp;A</t>
  </si>
  <si>
    <t>26,00%</t>
  </si>
  <si>
    <t>m shares</t>
  </si>
  <si>
    <t>28,00%</t>
  </si>
  <si>
    <t>Share Price</t>
  </si>
  <si>
    <t>pence</t>
  </si>
  <si>
    <t>in pence</t>
  </si>
  <si>
    <t>30,00%</t>
  </si>
  <si>
    <t>32,00%</t>
  </si>
  <si>
    <t>Terminal Value</t>
  </si>
  <si>
    <t>34,00%</t>
  </si>
  <si>
    <t>PV of TV</t>
  </si>
  <si>
    <t>TV as % of EV</t>
  </si>
  <si>
    <t>Company</t>
  </si>
  <si>
    <t>Market Cap (bn)</t>
  </si>
  <si>
    <t>Exchange rate</t>
  </si>
  <si>
    <t>Tier</t>
  </si>
  <si>
    <t>Selection Criteria</t>
  </si>
  <si>
    <t>REA Group</t>
  </si>
  <si>
    <t>AUD 19.58</t>
  </si>
  <si>
    <t> £                         10.38 </t>
  </si>
  <si>
    <t>Property portal, Australia</t>
  </si>
  <si>
    <t>Dominant national portal, identical ARPA subscription model</t>
  </si>
  <si>
    <t>Scout24</t>
  </si>
  <si>
    <t> £                             5.12 </t>
  </si>
  <si>
    <t> £                            5.12 </t>
  </si>
  <si>
    <t>Property portal, Germany</t>
  </si>
  <si>
    <t>Dominant portal, mature European market, same subscription model</t>
  </si>
  <si>
    <t>Auto Trader</t>
  </si>
  <si>
    <t> £                             3.46 </t>
  </si>
  <si>
    <t> £                            3.46 </t>
  </si>
  <si>
    <t>Auto marketplace, United Kingdom</t>
  </si>
  <si>
    <t>Same subscription ARPA model, UK-listed, economically near-identical to RMV</t>
  </si>
  <si>
    <t>Hemnet </t>
  </si>
  <si>
    <t>SEK 8.45</t>
  </si>
  <si>
    <t> £                            0.68 </t>
  </si>
  <si>
    <t>Property portal, Sweden</t>
  </si>
  <si>
    <t>Closest structural twin, monopoly portal, pure ARPA subscription </t>
  </si>
  <si>
    <t>Zillow </t>
  </si>
  <si>
    <t> $                             8.17 </t>
  </si>
  <si>
    <t> £                            6.05 </t>
  </si>
  <si>
    <t>Property portal, United States</t>
  </si>
  <si>
    <t>Same sector, US scale reference</t>
  </si>
  <si>
    <t>Multiples NTM</t>
  </si>
  <si>
    <t>EV/EBITDA</t>
  </si>
  <si>
    <t>EV/Rev</t>
  </si>
  <si>
    <t>P/E</t>
  </si>
  <si>
    <r>
      <t>REA Group</t>
    </r>
    <r>
      <rPr>
        <sz val="12"/>
        <color rgb="FF747474"/>
        <rFont val="Aptos Narrow"/>
        <family val="2"/>
        <charset val="1"/>
      </rPr>
      <t xml:space="preserve">
ASX: REA</t>
    </r>
  </si>
  <si>
    <r>
      <t>Scout24</t>
    </r>
    <r>
      <rPr>
        <sz val="12"/>
        <color rgb="FF747474"/>
        <rFont val="Aptos Narrow"/>
        <family val="2"/>
        <charset val="1"/>
      </rPr>
      <t xml:space="preserve">
FRA: G24</t>
    </r>
  </si>
  <si>
    <r>
      <t>Auto Trader</t>
    </r>
    <r>
      <rPr>
        <sz val="12"/>
        <color rgb="FF747474"/>
        <rFont val="Aptos Narrow"/>
        <family val="2"/>
        <charset val="1"/>
      </rPr>
      <t xml:space="preserve">
LSE: AUTO</t>
    </r>
  </si>
  <si>
    <r>
      <t>Hemnet </t>
    </r>
    <r>
      <rPr>
        <sz val="12"/>
        <color rgb="FF747474"/>
        <rFont val="Aptos Narrow"/>
        <family val="2"/>
        <charset val="1"/>
      </rPr>
      <t xml:space="preserve">
STO: HEM</t>
    </r>
  </si>
  <si>
    <r>
      <t>Zillow </t>
    </r>
    <r>
      <rPr>
        <sz val="12"/>
        <color rgb="FF747474"/>
        <rFont val="Aptos Narrow"/>
        <family val="2"/>
        <charset val="1"/>
      </rPr>
      <t xml:space="preserve">
NASDAQ: Z</t>
    </r>
  </si>
  <si>
    <t>Median</t>
  </si>
  <si>
    <t>Mean</t>
  </si>
  <si>
    <r>
      <t>Rightmove</t>
    </r>
    <r>
      <rPr>
        <sz val="12"/>
        <color rgb="FF747474"/>
        <rFont val="Aptos Narrow"/>
        <family val="2"/>
        <charset val="1"/>
      </rPr>
      <t xml:space="preserve">
LSE:RMV</t>
    </r>
  </si>
  <si>
    <t>Trading Comparables</t>
  </si>
  <si>
    <t>Median EV/EBITDA</t>
  </si>
  <si>
    <t>16.1x</t>
  </si>
  <si>
    <t>RMV EBITDA</t>
  </si>
  <si>
    <t> £                       317</t>
  </si>
  <si>
    <t>Implied EV</t>
  </si>
  <si>
    <t>Net cash</t>
  </si>
  <si>
    <t> £                          42.9</t>
  </si>
  <si>
    <t>-£                            7.2</t>
  </si>
  <si>
    <t>Shares</t>
  </si>
  <si>
    <t> £                       772.4</t>
  </si>
  <si>
    <t>665.4 pence</t>
  </si>
  <si>
    <t>Ratios TTM</t>
  </si>
  <si>
    <t>EBITDA Margin</t>
  </si>
  <si>
    <t>RIGHTMOVE VALUATION FOOTBALL FIELD</t>
  </si>
  <si>
    <t>Current Price (GBP):</t>
  </si>
  <si>
    <t>29 May, 13:08 BST</t>
  </si>
  <si>
    <t xml:space="preserve">VALUATION RANGE INPUTS  </t>
  </si>
  <si>
    <t>RELATIVE VALUATION COMPS (Median)</t>
  </si>
  <si>
    <t>Low (GBp)</t>
  </si>
  <si>
    <t>Base / Mid (GBp)</t>
  </si>
  <si>
    <t>High (GBp)</t>
  </si>
  <si>
    <t>Upside Low</t>
  </si>
  <si>
    <t>Upside High</t>
  </si>
  <si>
    <t>Low</t>
  </si>
  <si>
    <t>Base</t>
  </si>
  <si>
    <t>High</t>
  </si>
  <si>
    <t xml:space="preserve">DCF Base Case  </t>
  </si>
  <si>
    <t>EV/Revenue</t>
  </si>
  <si>
    <t>DCF Bear / Bull Scenarios</t>
  </si>
  <si>
    <t>Revenue FY2025</t>
  </si>
  <si>
    <t>Net Income</t>
  </si>
  <si>
    <t>EBITDA FY2025</t>
  </si>
  <si>
    <t xml:space="preserve">Revenue Growth Sensitivity </t>
  </si>
  <si>
    <t>Net Cash</t>
  </si>
  <si>
    <t>SG&amp;A Sensitivity</t>
  </si>
  <si>
    <t>52-Week Trading Range</t>
  </si>
  <si>
    <t xml:space="preserve">Bloomberg GP screen, RMV LN 52-wk low/high </t>
  </si>
  <si>
    <t>Price</t>
  </si>
  <si>
    <t xml:space="preserve">Analyst Consensus </t>
  </si>
  <si>
    <t>Bloomberg ANR screen low / median 709p / high analyst targets, May 2026</t>
  </si>
  <si>
    <t>Relative Valuation  (Median Comps)</t>
  </si>
  <si>
    <t>CHART DATA TABLE</t>
  </si>
  <si>
    <t>Invisible Base</t>
  </si>
  <si>
    <t>Range Width</t>
  </si>
  <si>
    <t>Mid Marker Offset</t>
  </si>
  <si>
    <t xml:space="preserve">Relative Valuation </t>
  </si>
  <si>
    <t>VALUATION RECONCILIATION &amp; RECOMMENDATION</t>
  </si>
  <si>
    <t>Weight</t>
  </si>
  <si>
    <t>Base Price (GBp)</t>
  </si>
  <si>
    <t>Weighted (GBp)</t>
  </si>
  <si>
    <t>vs. 416p</t>
  </si>
  <si>
    <t xml:space="preserve">DCF Base Case </t>
  </si>
  <si>
    <t>Revenue/SGA Base Sensitivity</t>
  </si>
  <si>
    <t>Analyst Consensus Median</t>
  </si>
  <si>
    <t>Relative Valuation</t>
  </si>
  <si>
    <t>Weighted Average Price Target</t>
  </si>
  <si>
    <t>Price Target (rounded)</t>
  </si>
  <si>
    <t xml:space="preserve">Weight check </t>
  </si>
  <si>
    <t>Recommendation: BUY
Weighted Average Price Target: 597p | Upside: +41.2% from 416p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</si>
</sst>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#,##0.0;\(#,##0.0\)"/>
    <numFmt numFmtId="166" formatCode="#,##0.000"/>
    <numFmt numFmtId="167" formatCode="0\p"/>
    <numFmt numFmtId="168" formatCode="#,##0.00;\(#,##0.00\)"/>
    <numFmt numFmtId="169" formatCode="0.00&quot;x&quot;"/>
    <numFmt numFmtId="170" formatCode="0.0000%"/>
    <numFmt numFmtId="171" formatCode="_-[$£-809]* #,##0.000_-;\-[$£-809]* #,##0.000_-;_-[$£-809]* &quot;-&quot;??_-;_-@_-"/>
  </numFmts>
  <fonts count="46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9"/>
      <color rgb="FF595959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</font>
    <font>
      <i/>
      <sz val="9"/>
      <color rgb="FF000000"/>
      <name val="Calibri"/>
      <family val="2"/>
    </font>
    <font>
      <i/>
      <sz val="9"/>
      <color rgb="FF000000"/>
      <name val="Calibri"/>
      <family val="2"/>
      <charset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u/>
      <sz val="11"/>
      <color rgb="FFFFFFFF"/>
      <name val="Calibri"/>
      <family val="2"/>
      <scheme val="minor"/>
    </font>
    <font>
      <sz val="11"/>
      <color rgb="FF0E284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0"/>
      <color rgb="FF000000"/>
      <name val="Arial"/>
      <family val="2"/>
    </font>
    <font>
      <i/>
      <sz val="9"/>
      <color theme="1"/>
      <name val="Arial"/>
      <family val="2"/>
    </font>
    <font>
      <i/>
      <sz val="9"/>
      <color rgb="FF595959"/>
      <name val="Arial"/>
      <family val="2"/>
    </font>
    <font>
      <sz val="10"/>
      <color rgb="FF000000"/>
      <name val="Arial"/>
      <family val="2"/>
    </font>
    <font>
      <i/>
      <sz val="9"/>
      <color rgb="FF40404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Calibri"/>
      <family val="2"/>
    </font>
    <font>
      <sz val="12"/>
      <color rgb="FF000000"/>
      <name val="Aptos Narrow"/>
    </font>
    <font>
      <b/>
      <sz val="12"/>
      <color rgb="FF000000"/>
      <name val="Aptos Narrow"/>
    </font>
    <font>
      <b/>
      <sz val="12"/>
      <color rgb="FF000000"/>
      <name val="Calibri"/>
      <family val="2"/>
    </font>
    <font>
      <sz val="14"/>
      <color rgb="FFFFFFFF"/>
      <name val="Aptos Narrow"/>
    </font>
    <font>
      <sz val="12"/>
      <color rgb="FF747474"/>
      <name val="Aptos Narrow"/>
      <family val="2"/>
      <charset val="1"/>
    </font>
    <font>
      <sz val="14"/>
      <color rgb="FF000000"/>
      <name val="Aptos Narrow"/>
    </font>
    <font>
      <b/>
      <sz val="14"/>
      <color rgb="FF000000"/>
      <name val="Aptos Narrow"/>
    </font>
    <font>
      <sz val="13"/>
      <color rgb="FF000000"/>
      <name val="Aptos Narrow"/>
    </font>
    <font>
      <sz val="14"/>
      <color rgb="FFFFFFFF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DEB6"/>
        <bgColor indexed="64"/>
      </patternFill>
    </fill>
    <fill>
      <patternFill patternType="solid">
        <fgColor rgb="FFF7FFFC"/>
        <bgColor indexed="64"/>
      </patternFill>
    </fill>
    <fill>
      <patternFill patternType="solid">
        <fgColor rgb="FFD2FBF1"/>
        <bgColor indexed="64"/>
      </patternFill>
    </fill>
    <fill>
      <patternFill patternType="solid">
        <fgColor rgb="FF62DEB3"/>
        <bgColor indexed="64"/>
      </patternFill>
    </fill>
    <fill>
      <patternFill patternType="solid">
        <fgColor rgb="FFF5FFFD"/>
        <bgColor indexed="64"/>
      </patternFill>
    </fill>
    <fill>
      <patternFill patternType="solid">
        <fgColor rgb="FFC8FAF1"/>
        <bgColor indexed="64"/>
      </patternFill>
    </fill>
    <fill>
      <patternFill patternType="solid">
        <fgColor rgb="FF242435"/>
        <bgColor indexed="64"/>
      </patternFill>
    </fill>
    <fill>
      <patternFill patternType="solid">
        <fgColor rgb="FF3BE0C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37">
    <xf numFmtId="0" fontId="0" fillId="0" borderId="0" xfId="0"/>
    <xf numFmtId="0" fontId="18" fillId="3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5" fillId="0" borderId="5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166" fontId="27" fillId="0" borderId="3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41" fontId="32" fillId="0" borderId="0" xfId="3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9" fontId="29" fillId="0" borderId="0" xfId="0" applyNumberFormat="1" applyFont="1" applyAlignment="1">
      <alignment horizontal="right" vertical="center"/>
    </xf>
    <xf numFmtId="167" fontId="32" fillId="0" borderId="0" xfId="0" applyNumberFormat="1" applyFont="1" applyAlignment="1">
      <alignment horizontal="right" vertical="center"/>
    </xf>
    <xf numFmtId="167" fontId="29" fillId="0" borderId="0" xfId="0" applyNumberFormat="1" applyFont="1" applyAlignment="1">
      <alignment horizontal="right" vertical="center"/>
    </xf>
    <xf numFmtId="164" fontId="32" fillId="0" borderId="0" xfId="0" applyNumberFormat="1" applyFont="1" applyAlignment="1">
      <alignment horizontal="right" vertical="center"/>
    </xf>
    <xf numFmtId="169" fontId="0" fillId="0" borderId="0" xfId="0" applyNumberFormat="1"/>
    <xf numFmtId="170" fontId="27" fillId="0" borderId="29" xfId="0" applyNumberFormat="1" applyFont="1" applyBorder="1" applyAlignment="1">
      <alignment horizontal="center" vertical="center"/>
    </xf>
    <xf numFmtId="170" fontId="27" fillId="0" borderId="30" xfId="0" applyNumberFormat="1" applyFont="1" applyBorder="1" applyAlignment="1">
      <alignment horizontal="center" vertical="center"/>
    </xf>
    <xf numFmtId="170" fontId="27" fillId="0" borderId="31" xfId="0" applyNumberFormat="1" applyFont="1" applyBorder="1" applyAlignment="1">
      <alignment horizontal="center" vertical="center"/>
    </xf>
    <xf numFmtId="171" fontId="27" fillId="7" borderId="0" xfId="0" applyNumberFormat="1" applyFont="1" applyFill="1" applyAlignment="1">
      <alignment horizontal="center" vertical="center"/>
    </xf>
    <xf numFmtId="171" fontId="27" fillId="7" borderId="28" xfId="0" applyNumberFormat="1" applyFont="1" applyFill="1" applyBorder="1" applyAlignment="1">
      <alignment horizontal="center" vertical="center"/>
    </xf>
    <xf numFmtId="171" fontId="27" fillId="8" borderId="0" xfId="0" applyNumberFormat="1" applyFont="1" applyFill="1" applyAlignment="1">
      <alignment horizontal="center" vertical="center"/>
    </xf>
    <xf numFmtId="171" fontId="28" fillId="9" borderId="0" xfId="0" applyNumberFormat="1" applyFont="1" applyFill="1" applyAlignment="1">
      <alignment horizontal="center" vertical="center"/>
    </xf>
    <xf numFmtId="171" fontId="27" fillId="7" borderId="25" xfId="0" applyNumberFormat="1" applyFont="1" applyFill="1" applyBorder="1" applyAlignment="1">
      <alignment horizontal="center" vertical="center"/>
    </xf>
    <xf numFmtId="171" fontId="27" fillId="7" borderId="26" xfId="0" applyNumberFormat="1" applyFont="1" applyFill="1" applyBorder="1" applyAlignment="1">
      <alignment horizontal="center" vertical="center"/>
    </xf>
    <xf numFmtId="9" fontId="21" fillId="5" borderId="0" xfId="2" applyFont="1" applyFill="1" applyBorder="1" applyAlignment="1">
      <alignment horizontal="left" vertical="center"/>
    </xf>
    <xf numFmtId="9" fontId="21" fillId="5" borderId="0" xfId="2" applyFont="1" applyFill="1" applyBorder="1" applyAlignment="1">
      <alignment horizontal="center" vertical="center"/>
    </xf>
    <xf numFmtId="9" fontId="21" fillId="5" borderId="0" xfId="2" applyFont="1" applyFill="1" applyAlignment="1">
      <alignment horizontal="center" vertical="center"/>
    </xf>
    <xf numFmtId="9" fontId="24" fillId="5" borderId="0" xfId="2" applyFont="1" applyFill="1" applyAlignment="1">
      <alignment vertical="center"/>
    </xf>
    <xf numFmtId="0" fontId="0" fillId="0" borderId="5" xfId="0" applyBorder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20" xfId="2" applyNumberFormat="1" applyFont="1" applyBorder="1" applyAlignment="1">
      <alignment vertical="center"/>
    </xf>
    <xf numFmtId="164" fontId="0" fillId="0" borderId="20" xfId="0" applyNumberFormat="1" applyBorder="1" applyAlignment="1">
      <alignment vertical="center"/>
    </xf>
    <xf numFmtId="0" fontId="0" fillId="0" borderId="16" xfId="0" quotePrefix="1" applyBorder="1" applyAlignment="1">
      <alignment vertical="center"/>
    </xf>
    <xf numFmtId="0" fontId="0" fillId="0" borderId="14" xfId="0" quotePrefix="1" applyBorder="1" applyAlignment="1">
      <alignment vertical="center"/>
    </xf>
    <xf numFmtId="164" fontId="0" fillId="0" borderId="21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4" fontId="26" fillId="0" borderId="6" xfId="0" applyNumberFormat="1" applyFont="1" applyBorder="1" applyAlignment="1">
      <alignment vertical="center"/>
    </xf>
    <xf numFmtId="10" fontId="0" fillId="0" borderId="6" xfId="2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0" fontId="0" fillId="0" borderId="19" xfId="0" applyNumberFormat="1" applyBorder="1" applyAlignment="1">
      <alignment vertical="center"/>
    </xf>
    <xf numFmtId="0" fontId="2" fillId="0" borderId="6" xfId="0" applyFont="1" applyBorder="1" applyAlignment="1">
      <alignment vertical="center"/>
    </xf>
    <xf numFmtId="165" fontId="1" fillId="0" borderId="0" xfId="0" applyNumberFormat="1" applyFont="1" applyAlignment="1">
      <alignment horizontal="left" vertical="center"/>
    </xf>
    <xf numFmtId="165" fontId="1" fillId="0" borderId="6" xfId="0" applyNumberFormat="1" applyFont="1" applyBorder="1" applyAlignment="1">
      <alignment horizontal="left" vertical="center"/>
    </xf>
    <xf numFmtId="165" fontId="19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165" fontId="1" fillId="0" borderId="7" xfId="0" applyNumberFormat="1" applyFont="1" applyBorder="1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5" fontId="7" fillId="0" borderId="6" xfId="0" applyNumberFormat="1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165" fontId="10" fillId="0" borderId="6" xfId="0" applyNumberFormat="1" applyFont="1" applyBorder="1" applyAlignment="1">
      <alignment horizontal="left" vertical="center"/>
    </xf>
    <xf numFmtId="9" fontId="10" fillId="0" borderId="0" xfId="2" applyFont="1" applyFill="1" applyAlignment="1">
      <alignment horizontal="left" vertical="center"/>
    </xf>
    <xf numFmtId="0" fontId="0" fillId="2" borderId="0" xfId="0" applyFill="1" applyAlignment="1">
      <alignment vertical="center"/>
    </xf>
    <xf numFmtId="165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1" fontId="22" fillId="3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1" fontId="22" fillId="3" borderId="0" xfId="0" applyNumberFormat="1" applyFont="1" applyFill="1" applyAlignment="1">
      <alignment vertical="center"/>
    </xf>
    <xf numFmtId="0" fontId="24" fillId="5" borderId="5" xfId="0" applyFont="1" applyFill="1" applyBorder="1" applyAlignment="1">
      <alignment vertical="center"/>
    </xf>
    <xf numFmtId="0" fontId="24" fillId="5" borderId="9" xfId="0" applyFont="1" applyFill="1" applyBorder="1" applyAlignment="1">
      <alignment horizontal="left" vertical="center"/>
    </xf>
    <xf numFmtId="0" fontId="24" fillId="5" borderId="5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6" xfId="0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horizontal="left" vertical="center"/>
    </xf>
    <xf numFmtId="165" fontId="0" fillId="0" borderId="3" xfId="0" applyNumberFormat="1" applyBorder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20" fillId="6" borderId="4" xfId="0" applyFont="1" applyFill="1" applyBorder="1" applyAlignment="1">
      <alignment vertical="center"/>
    </xf>
    <xf numFmtId="0" fontId="20" fillId="6" borderId="36" xfId="0" applyFont="1" applyFill="1" applyBorder="1" applyAlignment="1">
      <alignment horizontal="left" vertical="center"/>
    </xf>
    <xf numFmtId="165" fontId="20" fillId="6" borderId="4" xfId="0" applyNumberFormat="1" applyFont="1" applyFill="1" applyBorder="1" applyAlignment="1">
      <alignment horizontal="left" vertical="center"/>
    </xf>
    <xf numFmtId="165" fontId="0" fillId="0" borderId="0" xfId="1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0" fillId="6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4" fillId="2" borderId="6" xfId="0" applyFont="1" applyFill="1" applyBorder="1" applyAlignment="1">
      <alignment vertical="center"/>
    </xf>
    <xf numFmtId="2" fontId="20" fillId="6" borderId="11" xfId="0" applyNumberFormat="1" applyFont="1" applyFill="1" applyBorder="1" applyAlignment="1">
      <alignment horizontal="left" vertical="center"/>
    </xf>
    <xf numFmtId="0" fontId="0" fillId="6" borderId="12" xfId="0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20" fillId="6" borderId="18" xfId="0" applyFont="1" applyFill="1" applyBorder="1" applyAlignment="1">
      <alignment horizontal="left" vertical="center"/>
    </xf>
    <xf numFmtId="2" fontId="20" fillId="6" borderId="13" xfId="0" applyNumberFormat="1" applyFont="1" applyFill="1" applyBorder="1" applyAlignment="1">
      <alignment horizontal="left" vertical="center"/>
    </xf>
    <xf numFmtId="2" fontId="20" fillId="6" borderId="16" xfId="0" applyNumberFormat="1" applyFont="1" applyFill="1" applyBorder="1" applyAlignment="1">
      <alignment horizontal="left" vertical="center"/>
    </xf>
    <xf numFmtId="0" fontId="0" fillId="6" borderId="0" xfId="0" applyFill="1" applyAlignment="1">
      <alignment vertical="center"/>
    </xf>
    <xf numFmtId="0" fontId="5" fillId="6" borderId="0" xfId="0" applyFont="1" applyFill="1" applyAlignment="1">
      <alignment vertical="center"/>
    </xf>
    <xf numFmtId="0" fontId="20" fillId="6" borderId="6" xfId="0" applyFont="1" applyFill="1" applyBorder="1" applyAlignment="1">
      <alignment horizontal="left" vertical="center"/>
    </xf>
    <xf numFmtId="2" fontId="20" fillId="6" borderId="17" xfId="0" applyNumberFormat="1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/>
    </xf>
    <xf numFmtId="10" fontId="0" fillId="0" borderId="15" xfId="0" applyNumberFormat="1" applyBorder="1" applyAlignment="1">
      <alignment horizontal="left" vertical="center"/>
    </xf>
    <xf numFmtId="0" fontId="2" fillId="2" borderId="27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0" fontId="16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9" fontId="16" fillId="0" borderId="0" xfId="0" applyNumberFormat="1" applyFont="1" applyAlignment="1">
      <alignment vertical="center"/>
    </xf>
    <xf numFmtId="9" fontId="21" fillId="5" borderId="0" xfId="2" applyFont="1" applyFill="1" applyAlignment="1">
      <alignment horizontal="left" vertical="center"/>
    </xf>
    <xf numFmtId="0" fontId="24" fillId="5" borderId="0" xfId="0" applyFont="1" applyFill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12" xfId="0" applyFill="1" applyBorder="1" applyAlignment="1">
      <alignment vertical="center"/>
    </xf>
    <xf numFmtId="164" fontId="0" fillId="11" borderId="19" xfId="2" applyNumberFormat="1" applyFont="1" applyFill="1" applyBorder="1" applyAlignment="1">
      <alignment vertical="center"/>
    </xf>
    <xf numFmtId="0" fontId="0" fillId="11" borderId="16" xfId="0" applyFill="1" applyBorder="1" applyAlignment="1">
      <alignment vertical="center"/>
    </xf>
    <xf numFmtId="0" fontId="0" fillId="11" borderId="0" xfId="0" applyFill="1" applyAlignment="1">
      <alignment vertical="center"/>
    </xf>
    <xf numFmtId="164" fontId="0" fillId="11" borderId="20" xfId="2" applyNumberFormat="1" applyFont="1" applyFill="1" applyBorder="1" applyAlignment="1">
      <alignment vertical="center"/>
    </xf>
    <xf numFmtId="0" fontId="0" fillId="11" borderId="20" xfId="0" applyFill="1" applyBorder="1" applyAlignment="1">
      <alignment vertical="center"/>
    </xf>
    <xf numFmtId="164" fontId="0" fillId="11" borderId="20" xfId="0" applyNumberFormat="1" applyFill="1" applyBorder="1" applyAlignment="1">
      <alignment vertical="center"/>
    </xf>
    <xf numFmtId="0" fontId="20" fillId="11" borderId="38" xfId="0" applyFont="1" applyFill="1" applyBorder="1" applyAlignment="1">
      <alignment vertical="center"/>
    </xf>
    <xf numFmtId="0" fontId="20" fillId="11" borderId="1" xfId="0" applyFont="1" applyFill="1" applyBorder="1" applyAlignment="1">
      <alignment vertical="center"/>
    </xf>
    <xf numFmtId="10" fontId="20" fillId="11" borderId="39" xfId="0" applyNumberFormat="1" applyFont="1" applyFill="1" applyBorder="1" applyAlignment="1">
      <alignment vertical="center"/>
    </xf>
    <xf numFmtId="165" fontId="7" fillId="11" borderId="4" xfId="0" applyNumberFormat="1" applyFont="1" applyFill="1" applyBorder="1" applyAlignment="1">
      <alignment horizontal="left" vertical="center"/>
    </xf>
    <xf numFmtId="165" fontId="7" fillId="11" borderId="8" xfId="0" applyNumberFormat="1" applyFont="1" applyFill="1" applyBorder="1" applyAlignment="1">
      <alignment horizontal="left" vertical="center"/>
    </xf>
    <xf numFmtId="165" fontId="20" fillId="11" borderId="4" xfId="0" applyNumberFormat="1" applyFont="1" applyFill="1" applyBorder="1" applyAlignment="1">
      <alignment horizontal="left" vertical="center"/>
    </xf>
    <xf numFmtId="168" fontId="20" fillId="11" borderId="4" xfId="0" applyNumberFormat="1" applyFont="1" applyFill="1" applyBorder="1" applyAlignment="1">
      <alignment horizontal="left" vertical="center"/>
    </xf>
    <xf numFmtId="164" fontId="0" fillId="0" borderId="17" xfId="2" applyNumberFormat="1" applyFont="1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26" fillId="0" borderId="0" xfId="0" applyNumberFormat="1" applyFont="1" applyAlignment="1">
      <alignment vertical="center"/>
    </xf>
    <xf numFmtId="10" fontId="0" fillId="0" borderId="0" xfId="2" applyNumberFormat="1" applyFont="1" applyAlignment="1">
      <alignment vertical="center"/>
    </xf>
    <xf numFmtId="10" fontId="0" fillId="0" borderId="13" xfId="0" applyNumberFormat="1" applyBorder="1" applyAlignment="1">
      <alignment vertical="center"/>
    </xf>
    <xf numFmtId="164" fontId="0" fillId="11" borderId="13" xfId="2" applyNumberFormat="1" applyFont="1" applyFill="1" applyBorder="1" applyAlignment="1">
      <alignment vertical="center"/>
    </xf>
    <xf numFmtId="164" fontId="0" fillId="11" borderId="17" xfId="2" applyNumberFormat="1" applyFont="1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0" fontId="20" fillId="6" borderId="14" xfId="0" applyFont="1" applyFill="1" applyBorder="1" applyAlignment="1">
      <alignment vertical="center"/>
    </xf>
    <xf numFmtId="0" fontId="20" fillId="6" borderId="5" xfId="0" applyFont="1" applyFill="1" applyBorder="1" applyAlignment="1">
      <alignment vertical="center"/>
    </xf>
    <xf numFmtId="10" fontId="20" fillId="6" borderId="15" xfId="0" applyNumberFormat="1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0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1" fontId="34" fillId="11" borderId="0" xfId="0" applyNumberFormat="1" applyFont="1" applyFill="1" applyAlignment="1">
      <alignment vertical="center"/>
    </xf>
    <xf numFmtId="0" fontId="34" fillId="11" borderId="0" xfId="0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9" fontId="34" fillId="11" borderId="0" xfId="0" applyNumberFormat="1" applyFont="1" applyFill="1" applyAlignment="1">
      <alignment horizontal="right" vertical="center"/>
    </xf>
    <xf numFmtId="167" fontId="29" fillId="11" borderId="0" xfId="0" applyNumberFormat="1" applyFont="1" applyFill="1" applyAlignment="1">
      <alignment horizontal="right" vertical="center"/>
    </xf>
    <xf numFmtId="164" fontId="29" fillId="11" borderId="0" xfId="0" applyNumberFormat="1" applyFont="1" applyFill="1" applyAlignment="1">
      <alignment horizontal="right" vertical="center"/>
    </xf>
    <xf numFmtId="167" fontId="34" fillId="11" borderId="0" xfId="0" applyNumberFormat="1" applyFont="1" applyFill="1" applyAlignment="1">
      <alignment horizontal="right" vertical="center"/>
    </xf>
    <xf numFmtId="0" fontId="27" fillId="6" borderId="37" xfId="0" applyFont="1" applyFill="1" applyBorder="1" applyAlignment="1">
      <alignment vertical="center"/>
    </xf>
    <xf numFmtId="1" fontId="20" fillId="6" borderId="37" xfId="0" applyNumberFormat="1" applyFont="1" applyFill="1" applyBorder="1" applyAlignment="1">
      <alignment vertical="center"/>
    </xf>
    <xf numFmtId="169" fontId="38" fillId="2" borderId="0" xfId="0" applyNumberFormat="1" applyFont="1" applyFill="1"/>
    <xf numFmtId="0" fontId="40" fillId="12" borderId="0" xfId="0" applyFont="1" applyFill="1"/>
    <xf numFmtId="0" fontId="37" fillId="0" borderId="0" xfId="0" applyFont="1"/>
    <xf numFmtId="0" fontId="37" fillId="0" borderId="0" xfId="0" applyFont="1" applyAlignment="1">
      <alignment horizontal="right"/>
    </xf>
    <xf numFmtId="0" fontId="42" fillId="0" borderId="0" xfId="0" applyFont="1" applyAlignment="1">
      <alignment wrapText="1"/>
    </xf>
    <xf numFmtId="0" fontId="42" fillId="0" borderId="0" xfId="0" applyFont="1"/>
    <xf numFmtId="0" fontId="42" fillId="13" borderId="0" xfId="0" applyFont="1" applyFill="1"/>
    <xf numFmtId="0" fontId="42" fillId="13" borderId="0" xfId="0" applyFont="1" applyFill="1" applyAlignment="1">
      <alignment wrapText="1"/>
    </xf>
    <xf numFmtId="0" fontId="40" fillId="12" borderId="0" xfId="0" applyFont="1" applyFill="1" applyAlignment="1">
      <alignment horizontal="center" vertical="center"/>
    </xf>
    <xf numFmtId="9" fontId="43" fillId="13" borderId="0" xfId="0" applyNumberFormat="1" applyFont="1" applyFill="1" applyAlignment="1">
      <alignment horizontal="center" vertical="center"/>
    </xf>
    <xf numFmtId="9" fontId="4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13" borderId="0" xfId="0" applyFont="1" applyFill="1" applyAlignment="1">
      <alignment horizontal="center" vertical="center"/>
    </xf>
    <xf numFmtId="0" fontId="44" fillId="0" borderId="0" xfId="0" applyFont="1"/>
    <xf numFmtId="0" fontId="44" fillId="0" borderId="0" xfId="0" applyFont="1" applyAlignment="1">
      <alignment wrapText="1"/>
    </xf>
    <xf numFmtId="0" fontId="44" fillId="0" borderId="0" xfId="0" applyFont="1" applyAlignment="1">
      <alignment horizontal="left" vertical="center" wrapText="1"/>
    </xf>
    <xf numFmtId="0" fontId="40" fillId="12" borderId="0" xfId="0" applyFont="1" applyFill="1" applyAlignment="1">
      <alignment horizontal="center"/>
    </xf>
    <xf numFmtId="0" fontId="38" fillId="2" borderId="0" xfId="0" applyFont="1" applyFill="1"/>
    <xf numFmtId="0" fontId="0" fillId="2" borderId="0" xfId="0" applyFill="1"/>
    <xf numFmtId="0" fontId="43" fillId="13" borderId="0" xfId="0" applyFont="1" applyFill="1"/>
    <xf numFmtId="0" fontId="42" fillId="0" borderId="0" xfId="0" applyFont="1" applyAlignment="1">
      <alignment horizontal="right"/>
    </xf>
    <xf numFmtId="0" fontId="43" fillId="6" borderId="0" xfId="0" applyFont="1" applyFill="1" applyAlignment="1">
      <alignment horizontal="right"/>
    </xf>
    <xf numFmtId="0" fontId="42" fillId="0" borderId="0" xfId="0" quotePrefix="1" applyFont="1" applyAlignment="1">
      <alignment horizontal="right"/>
    </xf>
    <xf numFmtId="0" fontId="43" fillId="13" borderId="0" xfId="0" applyFont="1" applyFill="1" applyAlignment="1">
      <alignment horizontal="right"/>
    </xf>
    <xf numFmtId="0" fontId="1" fillId="2" borderId="0" xfId="0" applyFont="1" applyFill="1" applyAlignment="1">
      <alignment vertical="center"/>
    </xf>
    <xf numFmtId="0" fontId="40" fillId="12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28" fillId="5" borderId="33" xfId="0" applyFont="1" applyFill="1" applyBorder="1" applyAlignment="1">
      <alignment horizontal="center" vertical="center"/>
    </xf>
    <xf numFmtId="0" fontId="28" fillId="5" borderId="34" xfId="0" applyFont="1" applyFill="1" applyBorder="1" applyAlignment="1">
      <alignment horizontal="center" vertical="center"/>
    </xf>
    <xf numFmtId="0" fontId="28" fillId="5" borderId="35" xfId="0" applyFont="1" applyFill="1" applyBorder="1" applyAlignment="1">
      <alignment horizontal="center" vertical="center"/>
    </xf>
    <xf numFmtId="9" fontId="24" fillId="5" borderId="0" xfId="2" applyFont="1" applyFill="1" applyAlignment="1">
      <alignment horizontal="center" vertical="center" wrapText="1"/>
    </xf>
    <xf numFmtId="0" fontId="28" fillId="5" borderId="22" xfId="0" applyFont="1" applyFill="1" applyBorder="1" applyAlignment="1">
      <alignment horizontal="center" vertical="center"/>
    </xf>
    <xf numFmtId="0" fontId="28" fillId="5" borderId="27" xfId="0" applyFont="1" applyFill="1" applyBorder="1" applyAlignment="1">
      <alignment horizontal="center" vertical="center"/>
    </xf>
    <xf numFmtId="0" fontId="28" fillId="5" borderId="23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5" fillId="10" borderId="0" xfId="0" applyFont="1" applyFill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6" fillId="5" borderId="0" xfId="0" applyFont="1" applyFill="1" applyAlignment="1">
      <alignment horizontal="center" vertical="center"/>
    </xf>
    <xf numFmtId="0" fontId="45" fillId="12" borderId="0" xfId="0" applyFont="1" applyFill="1" applyAlignment="1"/>
  </cellXfs>
  <cellStyles count="4">
    <cellStyle name="Comma" xfId="1" builtinId="3"/>
    <cellStyle name="Comma [0]" xfId="3" builtinId="6"/>
    <cellStyle name="Normal" xfId="0" builtinId="0"/>
    <cellStyle name="Percent" xfId="2" builtinId="5"/>
  </cellStyles>
  <dxfs count="1">
    <dxf>
      <fill>
        <patternFill>
          <bgColor theme="4" tint="0.79998168889431442"/>
        </patternFill>
      </fill>
    </dxf>
  </dxfs>
  <tableStyles count="1" defaultTableStyle="TableStyleMedium2" defaultPivotStyle="PivotStyleMedium9">
    <tableStyle name="Table Style 1" pivot="0" count="1" xr9:uid="{ED083A8B-61E1-4EC3-9F9B-2C0323EB5D33}">
      <tableStyleElement type="firstColumnStripe" dxfId="0"/>
    </tableStyle>
  </tableStyles>
  <colors>
    <mruColors>
      <color rgb="FF00DEB6"/>
      <color rgb="FF1F497D"/>
      <color rgb="FFF5FFFD"/>
      <color rgb="FFC8F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ID" sz="1800" b="1" strike="noStrike" spc="-1">
                <a:solidFill>
                  <a:srgbClr val="000000"/>
                </a:solidFill>
                <a:latin typeface="Calibri"/>
              </a:rPr>
              <a:t>Rightmove PLC Valuation Football Field 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Recommendation!$B$14</c:f>
              <c:strCache>
                <c:ptCount val="1"/>
                <c:pt idx="0">
                  <c:v>Invisible Base</c:v>
                </c:pt>
              </c:strCache>
            </c:strRef>
          </c:tx>
          <c:spPr>
            <a:solidFill>
              <a:srgbClr val="FFFFFF"/>
            </a:solidFill>
            <a:ln w="0">
              <a:solidFill>
                <a:srgbClr val="FFFFF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Recommendation!$A$15:$A$21</c:f>
              <c:strCache>
                <c:ptCount val="7"/>
                <c:pt idx="0">
                  <c:v>DCF Base Case  </c:v>
                </c:pt>
                <c:pt idx="1">
                  <c:v>DCF Bear / Bull Scenarios</c:v>
                </c:pt>
                <c:pt idx="2">
                  <c:v>Revenue Growth Sensitivity </c:v>
                </c:pt>
                <c:pt idx="3">
                  <c:v>SG&amp;A Sensitivity</c:v>
                </c:pt>
                <c:pt idx="4">
                  <c:v>52-Week Trading Range</c:v>
                </c:pt>
                <c:pt idx="5">
                  <c:v>Analyst Consensus </c:v>
                </c:pt>
                <c:pt idx="6">
                  <c:v>Relative Valuation </c:v>
                </c:pt>
              </c:strCache>
            </c:strRef>
          </c:cat>
          <c:val>
            <c:numRef>
              <c:f>Recommendation!$B$15:$B$21</c:f>
              <c:numCache>
                <c:formatCode>_(* #,##0_);_(* \(#,##0\);_(* "-"_);_(@_)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339</c:v>
                </c:pt>
                <c:pt idx="5">
                  <c:v>420</c:v>
                </c:pt>
                <c:pt idx="6">
                  <c:v>373.36768513723462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8-6A4B-8886-072BDC6B22B5}"/>
            </c:ext>
          </c:extLst>
        </c:ser>
        <c:ser>
          <c:idx val="1"/>
          <c:order val="1"/>
          <c:tx>
            <c:strRef>
              <c:f>Recommendation!$C$14</c:f>
              <c:strCache>
                <c:ptCount val="1"/>
                <c:pt idx="0">
                  <c:v>Range Width</c:v>
                </c:pt>
              </c:strCache>
            </c:strRef>
          </c:tx>
          <c:spPr>
            <a:solidFill>
              <a:srgbClr val="00DEB6"/>
            </a:solidFill>
            <a:ln w="0">
              <a:solidFill>
                <a:srgbClr val="2E75B6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Recommendation!$A$15:$A$21</c:f>
              <c:strCache>
                <c:ptCount val="7"/>
                <c:pt idx="0">
                  <c:v>DCF Base Case  </c:v>
                </c:pt>
                <c:pt idx="1">
                  <c:v>DCF Bear / Bull Scenarios</c:v>
                </c:pt>
                <c:pt idx="2">
                  <c:v>Revenue Growth Sensitivity </c:v>
                </c:pt>
                <c:pt idx="3">
                  <c:v>SG&amp;A Sensitivity</c:v>
                </c:pt>
                <c:pt idx="4">
                  <c:v>52-Week Trading Range</c:v>
                </c:pt>
                <c:pt idx="5">
                  <c:v>Analyst Consensus </c:v>
                </c:pt>
                <c:pt idx="6">
                  <c:v>Relative Valuation </c:v>
                </c:pt>
              </c:strCache>
            </c:strRef>
          </c:cat>
          <c:val>
            <c:numRef>
              <c:f>Recommendation!$C$15:$C$21</c:f>
              <c:numCache>
                <c:formatCode>_(* #,##0_);_(* \(#,##0\);_(* "-"_);_(@_)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270</c:v>
                </c:pt>
                <c:pt idx="5">
                  <c:v>480</c:v>
                </c:pt>
                <c:pt idx="6">
                  <c:v>291.96493526670133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8-6A4B-8886-072BDC6B22B5}"/>
            </c:ext>
          </c:extLst>
        </c:ser>
        <c:ser>
          <c:idx val="2"/>
          <c:order val="2"/>
          <c:tx>
            <c:strRef>
              <c:f>Recommendation!$D$14</c:f>
              <c:strCache>
                <c:ptCount val="1"/>
                <c:pt idx="0">
                  <c:v>Mid Marker Offset</c:v>
                </c:pt>
              </c:strCache>
            </c:strRef>
          </c:tx>
          <c:spPr>
            <a:solidFill>
              <a:srgbClr val="1F497D"/>
            </a:solidFill>
            <a:ln w="0">
              <a:solidFill>
                <a:srgbClr val="1F3864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Recommendation!$A$15:$A$21</c:f>
              <c:strCache>
                <c:ptCount val="7"/>
                <c:pt idx="0">
                  <c:v>DCF Base Case  </c:v>
                </c:pt>
                <c:pt idx="1">
                  <c:v>DCF Bear / Bull Scenarios</c:v>
                </c:pt>
                <c:pt idx="2">
                  <c:v>Revenue Growth Sensitivity </c:v>
                </c:pt>
                <c:pt idx="3">
                  <c:v>SG&amp;A Sensitivity</c:v>
                </c:pt>
                <c:pt idx="4">
                  <c:v>52-Week Trading Range</c:v>
                </c:pt>
                <c:pt idx="5">
                  <c:v>Analyst Consensus </c:v>
                </c:pt>
                <c:pt idx="6">
                  <c:v>Relative Valuation </c:v>
                </c:pt>
              </c:strCache>
            </c:strRef>
          </c:cat>
          <c:val>
            <c:numRef>
              <c:f>Recommendation!$D$15:$D$21</c:f>
              <c:numCache>
                <c:formatCode>_(* #,##0_);_(* \(#,##0\);_(* "-"_);_(@_)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77</c:v>
                </c:pt>
                <c:pt idx="5">
                  <c:v>289</c:v>
                </c:pt>
                <c:pt idx="6">
                  <c:v>174.72268254790254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8-6A4B-8886-072BDC6B2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59687"/>
        <c:axId val="60906123"/>
      </c:barChart>
      <c:catAx>
        <c:axId val="12259687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Implied Share Price</a:t>
                </a:r>
              </a:p>
            </c:rich>
          </c:tx>
          <c:layout>
            <c:manualLayout>
              <c:xMode val="edge"/>
              <c:yMode val="edge"/>
              <c:x val="1.7852111893134792E-2"/>
              <c:y val="0.38198776137360396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0906123"/>
        <c:crosses val="autoZero"/>
        <c:auto val="1"/>
        <c:lblAlgn val="ctr"/>
        <c:lblOffset val="100"/>
        <c:noMultiLvlLbl val="0"/>
      </c:catAx>
      <c:valAx>
        <c:axId val="60906123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225968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431800</xdr:colOff>
      <xdr:row>4</xdr:row>
      <xdr:rowOff>139700</xdr:rowOff>
    </xdr:from>
    <xdr:to>
      <xdr:col>17</xdr:col>
      <xdr:colOff>32077</xdr:colOff>
      <xdr:row>18</xdr:row>
      <xdr:rowOff>6475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2B858A-EB17-4C39-8EFB-88FFDEE26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0" y="635000"/>
          <a:ext cx="7004377" cy="2546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561745</xdr:colOff>
      <xdr:row>25</xdr:row>
      <xdr:rowOff>119638</xdr:rowOff>
    </xdr:from>
    <xdr:to>
      <xdr:col>13</xdr:col>
      <xdr:colOff>159261</xdr:colOff>
      <xdr:row>39</xdr:row>
      <xdr:rowOff>10755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859331-7721-4F50-9BE9-841CEBA9E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484" y="4730290"/>
          <a:ext cx="6352444" cy="2474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18</xdr:row>
      <xdr:rowOff>390525</xdr:rowOff>
    </xdr:from>
    <xdr:to>
      <xdr:col>9</xdr:col>
      <xdr:colOff>542925</xdr:colOff>
      <xdr:row>33</xdr:row>
      <xdr:rowOff>28575</xdr:rowOff>
    </xdr:to>
    <xdr:pic>
      <xdr:nvPicPr>
        <xdr:cNvPr id="5" name="">
          <a:extLst>
            <a:ext uri="{FF2B5EF4-FFF2-40B4-BE49-F238E27FC236}">
              <a16:creationId xmlns:a16="http://schemas.microsoft.com/office/drawing/2014/main" id="{004B44FC-8B8E-6E6E-3569-EAE62F88E1D3}"/>
            </a:ext>
            <a:ext uri="{147F2762-F138-4A5C-976F-8EAC2B608ADB}">
              <a16:predDERef xmlns:a16="http://schemas.microsoft.com/office/drawing/2014/main" pred="{5BF632AF-16C9-F162-9F23-D8C797583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7153275"/>
          <a:ext cx="6524625" cy="3267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22</xdr:row>
      <xdr:rowOff>0</xdr:rowOff>
    </xdr:from>
    <xdr:to>
      <xdr:col>6</xdr:col>
      <xdr:colOff>1187295</xdr:colOff>
      <xdr:row>48</xdr:row>
      <xdr:rowOff>64280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CF8AD0-C414-D34F-9A70-ABC8A2BC0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6664-7958-4B2B-A7F5-4B3CAD922953}">
  <dimension ref="C1:F17"/>
  <sheetViews>
    <sheetView showGridLines="0" workbookViewId="0">
      <selection activeCell="E29" sqref="E29"/>
    </sheetView>
  </sheetViews>
  <sheetFormatPr defaultColWidth="8.85546875" defaultRowHeight="15"/>
  <cols>
    <col min="1" max="2" width="3.42578125" style="45" customWidth="1"/>
    <col min="3" max="16384" width="8.85546875" style="45"/>
  </cols>
  <sheetData>
    <row r="1" spans="3:6" ht="8.1" customHeight="1"/>
    <row r="2" spans="3:6" ht="8.1" customHeight="1"/>
    <row r="3" spans="3:6" ht="8.1" customHeight="1"/>
    <row r="4" spans="3:6" s="150" customFormat="1">
      <c r="C4" s="148" t="s">
        <v>0</v>
      </c>
      <c r="D4" s="148"/>
      <c r="E4" s="148"/>
    </row>
    <row r="6" spans="3:6">
      <c r="C6" s="151" t="s">
        <v>1</v>
      </c>
      <c r="D6" s="152"/>
      <c r="E6" s="152"/>
      <c r="F6" s="172">
        <v>0.998</v>
      </c>
    </row>
    <row r="7" spans="3:6">
      <c r="C7" s="56" t="s">
        <v>2</v>
      </c>
      <c r="F7" s="166">
        <v>0</v>
      </c>
    </row>
    <row r="8" spans="3:6">
      <c r="C8" s="154" t="s">
        <v>3</v>
      </c>
      <c r="D8" s="155"/>
      <c r="E8" s="155"/>
      <c r="F8" s="173">
        <f>1-F6</f>
        <v>2.0000000000000018E-3</v>
      </c>
    </row>
    <row r="9" spans="3:6">
      <c r="C9" s="56" t="s">
        <v>4</v>
      </c>
      <c r="F9" s="167">
        <v>4.48E-2</v>
      </c>
    </row>
    <row r="10" spans="3:6">
      <c r="C10" s="154" t="s">
        <v>5</v>
      </c>
      <c r="D10" s="155"/>
      <c r="E10" s="155"/>
      <c r="F10" s="174">
        <v>0.65</v>
      </c>
    </row>
    <row r="11" spans="3:6">
      <c r="C11" s="59" t="s">
        <v>6</v>
      </c>
      <c r="F11" s="167">
        <f>F12-F13</f>
        <v>7.0499999999999993E-2</v>
      </c>
    </row>
    <row r="12" spans="3:6">
      <c r="C12" s="154" t="s">
        <v>7</v>
      </c>
      <c r="D12" s="155"/>
      <c r="E12" s="155"/>
      <c r="F12" s="175">
        <v>0.1153</v>
      </c>
    </row>
    <row r="13" spans="3:6">
      <c r="C13" s="60" t="s">
        <v>8</v>
      </c>
      <c r="D13" s="42"/>
      <c r="E13" s="42"/>
      <c r="F13" s="168">
        <v>4.4800000000000006E-2</v>
      </c>
    </row>
    <row r="14" spans="3:6">
      <c r="C14" s="62" t="s">
        <v>9</v>
      </c>
      <c r="D14" s="62"/>
      <c r="E14" s="62"/>
      <c r="F14" s="169">
        <f>F8+F6</f>
        <v>1</v>
      </c>
    </row>
    <row r="15" spans="3:6">
      <c r="F15" s="170"/>
    </row>
    <row r="16" spans="3:6">
      <c r="C16" s="65" t="s">
        <v>10</v>
      </c>
      <c r="D16" s="66"/>
      <c r="E16" s="66"/>
      <c r="F16" s="171">
        <f>F9+F10*F11</f>
        <v>9.0624999999999997E-2</v>
      </c>
    </row>
    <row r="17" spans="3:6">
      <c r="C17" s="176" t="s">
        <v>11</v>
      </c>
      <c r="D17" s="177"/>
      <c r="E17" s="177"/>
      <c r="F17" s="178">
        <f>F16</f>
        <v>9.0624999999999997E-2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6BE8-EB6E-4F69-8BD2-9C37BD123C7C}">
  <dimension ref="A4:AE169"/>
  <sheetViews>
    <sheetView showGridLines="0" topLeftCell="U92" zoomScale="125" workbookViewId="0">
      <selection activeCell="Z113" sqref="Z113"/>
    </sheetView>
  </sheetViews>
  <sheetFormatPr defaultColWidth="8.85546875" defaultRowHeight="15"/>
  <cols>
    <col min="1" max="1" width="14.28515625" style="45" customWidth="1"/>
    <col min="2" max="2" width="24.28515625" style="45" customWidth="1"/>
    <col min="3" max="4" width="11.85546875" style="45" hidden="1" customWidth="1"/>
    <col min="5" max="5" width="6.85546875" style="45" customWidth="1"/>
    <col min="6" max="8" width="11.85546875" style="45" customWidth="1"/>
    <col min="9" max="9" width="13.42578125" style="45" bestFit="1" customWidth="1"/>
    <col min="10" max="21" width="11.85546875" style="45" customWidth="1"/>
    <col min="22" max="23" width="8.85546875" style="45"/>
    <col min="24" max="25" width="24.42578125" style="45" bestFit="1" customWidth="1"/>
    <col min="26" max="26" width="13.140625" style="45" customWidth="1"/>
    <col min="27" max="27" width="14.140625" style="45" customWidth="1"/>
    <col min="28" max="16384" width="8.85546875" style="45"/>
  </cols>
  <sheetData>
    <row r="4" spans="2:21" s="41" customFormat="1">
      <c r="B4" s="147" t="s">
        <v>12</v>
      </c>
      <c r="C4" s="40"/>
      <c r="D4" s="40"/>
      <c r="E4" s="39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6" spans="2:21">
      <c r="B6" s="42"/>
      <c r="C6" s="42"/>
      <c r="D6" s="42"/>
      <c r="E6" s="43" t="s">
        <v>13</v>
      </c>
      <c r="F6" s="44" t="s">
        <v>14</v>
      </c>
    </row>
    <row r="7" spans="2:21">
      <c r="B7" s="46" t="s">
        <v>15</v>
      </c>
      <c r="C7" s="46"/>
      <c r="D7" s="46"/>
      <c r="E7" s="47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21">
      <c r="B8" s="49" t="s">
        <v>16</v>
      </c>
      <c r="C8" s="49"/>
      <c r="D8" s="49"/>
      <c r="E8" s="50" t="s">
        <v>17</v>
      </c>
      <c r="F8" s="5">
        <v>0.08</v>
      </c>
      <c r="G8" s="51" t="s">
        <v>18</v>
      </c>
      <c r="H8" s="52"/>
      <c r="I8" s="48"/>
      <c r="J8" s="48"/>
      <c r="K8" s="48"/>
      <c r="L8" s="48"/>
      <c r="M8" s="48"/>
      <c r="N8" s="48"/>
      <c r="O8" s="48"/>
    </row>
    <row r="9" spans="2:21">
      <c r="B9" s="49" t="s">
        <v>19</v>
      </c>
      <c r="C9" s="49"/>
      <c r="D9" s="49"/>
      <c r="E9" s="50" t="s">
        <v>17</v>
      </c>
      <c r="F9" s="5">
        <v>0.3</v>
      </c>
      <c r="G9" s="51" t="s">
        <v>20</v>
      </c>
      <c r="H9" s="52"/>
      <c r="I9" s="52"/>
      <c r="J9" s="48"/>
      <c r="K9" s="48"/>
      <c r="L9" s="48"/>
      <c r="M9" s="48"/>
      <c r="N9" s="48"/>
      <c r="O9" s="48"/>
    </row>
    <row r="10" spans="2:21">
      <c r="B10" s="49" t="s">
        <v>21</v>
      </c>
      <c r="C10" s="49"/>
      <c r="D10" s="49"/>
      <c r="E10" s="50" t="s">
        <v>17</v>
      </c>
      <c r="F10" s="5">
        <v>0.02</v>
      </c>
      <c r="G10" s="51" t="s">
        <v>22</v>
      </c>
      <c r="H10" s="52"/>
      <c r="I10" s="48"/>
      <c r="J10" s="48"/>
      <c r="K10" s="48"/>
      <c r="L10" s="48"/>
      <c r="M10" s="48"/>
      <c r="N10" s="48"/>
      <c r="O10" s="48"/>
    </row>
    <row r="11" spans="2:21">
      <c r="B11" s="45" t="s">
        <v>23</v>
      </c>
      <c r="E11" s="50" t="s">
        <v>17</v>
      </c>
      <c r="F11" s="5">
        <v>0.09</v>
      </c>
      <c r="G11" s="53" t="s">
        <v>24</v>
      </c>
      <c r="H11" s="52"/>
      <c r="I11" s="48"/>
      <c r="J11" s="48"/>
      <c r="K11" s="48"/>
      <c r="L11" s="48"/>
      <c r="M11" s="48"/>
      <c r="N11" s="48"/>
      <c r="O11" s="48"/>
    </row>
    <row r="12" spans="2:21">
      <c r="B12" s="46" t="s">
        <v>25</v>
      </c>
      <c r="C12" s="46"/>
      <c r="D12" s="46"/>
      <c r="E12" s="47"/>
      <c r="F12" s="6"/>
      <c r="H12" s="52"/>
      <c r="I12" s="52"/>
      <c r="J12" s="48"/>
      <c r="K12" s="48"/>
      <c r="L12" s="48"/>
      <c r="M12" s="48"/>
      <c r="N12" s="48"/>
      <c r="O12" s="48"/>
    </row>
    <row r="13" spans="2:21">
      <c r="B13" s="49" t="s">
        <v>26</v>
      </c>
      <c r="C13" s="49"/>
      <c r="D13" s="49"/>
      <c r="E13" s="50" t="s">
        <v>17</v>
      </c>
      <c r="F13" s="5">
        <v>0.25</v>
      </c>
      <c r="H13" s="52"/>
      <c r="I13" s="52"/>
      <c r="J13" s="48"/>
      <c r="K13" s="48"/>
      <c r="L13" s="48"/>
      <c r="M13" s="48"/>
      <c r="N13" s="48"/>
      <c r="O13" s="48"/>
    </row>
    <row r="14" spans="2:21">
      <c r="B14" s="49" t="s">
        <v>27</v>
      </c>
      <c r="C14" s="49"/>
      <c r="D14" s="49"/>
      <c r="E14" s="50" t="s">
        <v>17</v>
      </c>
      <c r="F14" s="5">
        <v>3.0000000000000001E-3</v>
      </c>
      <c r="G14" s="51" t="s">
        <v>28</v>
      </c>
      <c r="H14" s="48"/>
      <c r="I14" s="48"/>
      <c r="J14" s="48"/>
      <c r="K14" s="48"/>
      <c r="L14" s="48"/>
      <c r="M14" s="48"/>
      <c r="N14" s="48"/>
      <c r="O14" s="48"/>
    </row>
    <row r="15" spans="2:21">
      <c r="B15" s="49" t="s">
        <v>29</v>
      </c>
      <c r="C15" s="49"/>
      <c r="D15" s="49"/>
      <c r="E15" s="50" t="s">
        <v>17</v>
      </c>
      <c r="F15" s="5">
        <v>0</v>
      </c>
      <c r="G15" s="53" t="s">
        <v>30</v>
      </c>
      <c r="H15" s="48"/>
      <c r="I15" s="48"/>
      <c r="J15" s="48"/>
      <c r="K15" s="48"/>
      <c r="L15" s="48"/>
      <c r="M15" s="48"/>
      <c r="N15" s="48"/>
      <c r="O15" s="48"/>
    </row>
    <row r="16" spans="2:21">
      <c r="B16" s="46" t="s">
        <v>31</v>
      </c>
      <c r="C16" s="46"/>
      <c r="D16" s="46"/>
      <c r="E16" s="47"/>
      <c r="F16" s="6"/>
      <c r="H16" s="52"/>
      <c r="I16" s="48"/>
      <c r="J16" s="48"/>
      <c r="K16" s="48"/>
      <c r="L16" s="48"/>
      <c r="M16" s="48"/>
      <c r="N16" s="48"/>
      <c r="O16" s="48"/>
    </row>
    <row r="17" spans="2:15">
      <c r="B17" s="49" t="s">
        <v>11</v>
      </c>
      <c r="C17" s="49"/>
      <c r="D17" s="49"/>
      <c r="E17" s="50" t="s">
        <v>17</v>
      </c>
      <c r="F17" s="5">
        <f>$E$38</f>
        <v>9.0624999999999997E-2</v>
      </c>
      <c r="G17" s="51" t="s">
        <v>32</v>
      </c>
      <c r="H17" s="52"/>
      <c r="I17" s="48"/>
      <c r="J17" s="48"/>
      <c r="K17" s="48"/>
      <c r="L17" s="48"/>
      <c r="M17" s="48"/>
      <c r="N17" s="48"/>
      <c r="O17" s="48"/>
    </row>
    <row r="18" spans="2:15">
      <c r="B18" s="49" t="s">
        <v>33</v>
      </c>
      <c r="C18" s="49"/>
      <c r="D18" s="49"/>
      <c r="E18" s="50" t="s">
        <v>17</v>
      </c>
      <c r="F18" s="5">
        <v>2.5000000000000001E-2</v>
      </c>
      <c r="G18" s="51" t="s">
        <v>34</v>
      </c>
      <c r="H18" s="52"/>
      <c r="I18" s="48"/>
      <c r="J18" s="48"/>
      <c r="K18" s="48"/>
      <c r="L18" s="48"/>
      <c r="M18" s="48"/>
      <c r="N18" s="48"/>
      <c r="O18" s="48"/>
    </row>
    <row r="19" spans="2:15">
      <c r="B19" s="46" t="s">
        <v>35</v>
      </c>
      <c r="C19" s="46"/>
      <c r="D19" s="46"/>
      <c r="E19" s="47"/>
      <c r="F19" s="6"/>
      <c r="G19" s="51"/>
      <c r="H19" s="52"/>
      <c r="I19" s="52"/>
      <c r="J19" s="48"/>
      <c r="K19" s="48"/>
      <c r="L19" s="48"/>
      <c r="M19" s="48"/>
      <c r="N19" s="48"/>
      <c r="O19" s="48"/>
    </row>
    <row r="20" spans="2:15">
      <c r="B20" s="49" t="s">
        <v>36</v>
      </c>
      <c r="C20" s="49"/>
      <c r="D20" s="49"/>
      <c r="E20" s="50" t="s">
        <v>37</v>
      </c>
      <c r="F20" s="6">
        <v>42.905999999999999</v>
      </c>
      <c r="G20" s="51" t="s">
        <v>38</v>
      </c>
      <c r="H20" s="54" t="s">
        <v>39</v>
      </c>
      <c r="I20" s="52"/>
      <c r="J20" s="48"/>
      <c r="K20" s="48"/>
      <c r="L20" s="48"/>
      <c r="M20" s="48"/>
      <c r="N20" s="48"/>
      <c r="O20" s="48"/>
    </row>
    <row r="21" spans="2:15">
      <c r="B21" s="49" t="s">
        <v>40</v>
      </c>
      <c r="C21" s="49"/>
      <c r="D21" s="49"/>
      <c r="E21" s="50"/>
      <c r="F21" s="6">
        <v>-7.1840000000000002</v>
      </c>
      <c r="G21" s="51" t="s">
        <v>38</v>
      </c>
      <c r="H21" s="54" t="s">
        <v>39</v>
      </c>
      <c r="I21" s="52"/>
      <c r="J21" s="48"/>
      <c r="K21" s="48"/>
      <c r="L21" s="48"/>
      <c r="M21" s="48"/>
      <c r="N21" s="48"/>
      <c r="O21" s="48"/>
    </row>
    <row r="22" spans="2:15">
      <c r="B22" s="49" t="s">
        <v>41</v>
      </c>
      <c r="C22" s="49"/>
      <c r="D22" s="49"/>
      <c r="E22" s="50" t="s">
        <v>42</v>
      </c>
      <c r="F22" s="6">
        <v>772.4</v>
      </c>
      <c r="G22" s="51" t="s">
        <v>38</v>
      </c>
      <c r="H22" s="54" t="s">
        <v>43</v>
      </c>
      <c r="I22" s="52"/>
      <c r="J22" s="48"/>
      <c r="K22" s="48"/>
      <c r="L22" s="48"/>
      <c r="M22" s="48"/>
      <c r="N22" s="48"/>
      <c r="O22" s="48"/>
    </row>
    <row r="23" spans="2:15">
      <c r="B23" s="49"/>
      <c r="C23" s="49"/>
      <c r="D23" s="49"/>
      <c r="E23" s="49"/>
      <c r="F23" s="6"/>
      <c r="G23" s="51"/>
      <c r="H23" s="54"/>
      <c r="I23" s="52"/>
      <c r="J23" s="48"/>
      <c r="K23" s="48"/>
      <c r="L23" s="48"/>
      <c r="M23" s="48"/>
      <c r="N23" s="48"/>
      <c r="O23" s="48"/>
    </row>
    <row r="24" spans="2:15">
      <c r="B24" s="49"/>
      <c r="C24" s="49"/>
      <c r="D24" s="49"/>
      <c r="E24" s="49"/>
      <c r="F24" s="6"/>
      <c r="G24" s="51"/>
      <c r="H24" s="54"/>
      <c r="I24" s="52"/>
      <c r="J24" s="48"/>
      <c r="K24" s="48"/>
      <c r="L24" s="48"/>
      <c r="M24" s="48"/>
      <c r="N24" s="48"/>
      <c r="O24" s="48"/>
    </row>
    <row r="25" spans="2:15" s="150" customFormat="1">
      <c r="B25" s="148" t="s">
        <v>0</v>
      </c>
      <c r="C25" s="148"/>
      <c r="D25" s="148"/>
      <c r="E25" s="149"/>
    </row>
    <row r="26" spans="2:15">
      <c r="E26" s="55"/>
    </row>
    <row r="27" spans="2:15">
      <c r="B27" s="151" t="s">
        <v>1</v>
      </c>
      <c r="C27" s="152"/>
      <c r="D27" s="152"/>
      <c r="E27" s="153">
        <v>0.998</v>
      </c>
    </row>
    <row r="28" spans="2:15">
      <c r="B28" s="56" t="s">
        <v>2</v>
      </c>
      <c r="E28" s="57">
        <v>0</v>
      </c>
    </row>
    <row r="29" spans="2:15">
      <c r="B29" s="154" t="s">
        <v>3</v>
      </c>
      <c r="C29" s="155"/>
      <c r="D29" s="155"/>
      <c r="E29" s="156">
        <f>1-E27</f>
        <v>2.0000000000000018E-3</v>
      </c>
    </row>
    <row r="30" spans="2:15">
      <c r="B30" s="56" t="s">
        <v>4</v>
      </c>
      <c r="E30" s="58">
        <v>4.48E-2</v>
      </c>
    </row>
    <row r="31" spans="2:15">
      <c r="B31" s="154" t="s">
        <v>5</v>
      </c>
      <c r="C31" s="155"/>
      <c r="D31" s="155"/>
      <c r="E31" s="157">
        <v>0.65</v>
      </c>
    </row>
    <row r="32" spans="2:15">
      <c r="B32" s="59" t="s">
        <v>6</v>
      </c>
      <c r="E32" s="58">
        <f>E33-E34</f>
        <v>7.0499999999999993E-2</v>
      </c>
    </row>
    <row r="33" spans="2:21">
      <c r="B33" s="154" t="s">
        <v>7</v>
      </c>
      <c r="C33" s="155"/>
      <c r="D33" s="155"/>
      <c r="E33" s="158">
        <v>0.1153</v>
      </c>
    </row>
    <row r="34" spans="2:21">
      <c r="B34" s="60" t="s">
        <v>8</v>
      </c>
      <c r="C34" s="42"/>
      <c r="D34" s="42"/>
      <c r="E34" s="61">
        <v>4.4800000000000006E-2</v>
      </c>
    </row>
    <row r="35" spans="2:21">
      <c r="B35" s="62" t="s">
        <v>9</v>
      </c>
      <c r="C35" s="62"/>
      <c r="D35" s="62"/>
      <c r="E35" s="63">
        <f>E29+E27</f>
        <v>1</v>
      </c>
    </row>
    <row r="36" spans="2:21">
      <c r="E36" s="64"/>
    </row>
    <row r="37" spans="2:21">
      <c r="B37" s="65" t="s">
        <v>10</v>
      </c>
      <c r="C37" s="66"/>
      <c r="D37" s="66"/>
      <c r="E37" s="67">
        <f>E30+E31*E32</f>
        <v>9.0624999999999997E-2</v>
      </c>
    </row>
    <row r="38" spans="2:21">
      <c r="B38" s="159" t="s">
        <v>11</v>
      </c>
      <c r="C38" s="160"/>
      <c r="D38" s="160"/>
      <c r="E38" s="161">
        <f>E37</f>
        <v>9.0624999999999997E-2</v>
      </c>
    </row>
    <row r="42" spans="2:21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21" s="41" customFormat="1">
      <c r="B43" s="38" t="s">
        <v>44</v>
      </c>
      <c r="C43" s="39"/>
      <c r="D43" s="39"/>
      <c r="E43" s="39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</row>
    <row r="45" spans="2:21">
      <c r="F45" s="223" t="s">
        <v>45</v>
      </c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2" t="s">
        <v>46</v>
      </c>
      <c r="R45" s="222"/>
      <c r="S45" s="222"/>
      <c r="T45" s="222"/>
      <c r="U45" s="222"/>
    </row>
    <row r="46" spans="2:21" ht="14.45" hidden="1" customHeight="1">
      <c r="E46" s="55"/>
      <c r="F46" s="45">
        <v>2015</v>
      </c>
      <c r="G46" s="45">
        <f>F46+1</f>
        <v>2016</v>
      </c>
      <c r="H46" s="45">
        <f t="shared" ref="H46:U46" si="0">G46+1</f>
        <v>2017</v>
      </c>
      <c r="I46" s="45">
        <f t="shared" si="0"/>
        <v>2018</v>
      </c>
      <c r="J46" s="45">
        <f t="shared" si="0"/>
        <v>2019</v>
      </c>
      <c r="K46" s="45">
        <f t="shared" si="0"/>
        <v>2020</v>
      </c>
      <c r="L46" s="45">
        <f t="shared" si="0"/>
        <v>2021</v>
      </c>
      <c r="M46" s="45">
        <f t="shared" si="0"/>
        <v>2022</v>
      </c>
      <c r="N46" s="45">
        <f t="shared" si="0"/>
        <v>2023</v>
      </c>
      <c r="O46" s="45">
        <f t="shared" si="0"/>
        <v>2024</v>
      </c>
      <c r="P46" s="45">
        <f t="shared" si="0"/>
        <v>2025</v>
      </c>
      <c r="Q46" s="45">
        <f t="shared" si="0"/>
        <v>2026</v>
      </c>
      <c r="R46" s="45">
        <f t="shared" si="0"/>
        <v>2027</v>
      </c>
      <c r="S46" s="45">
        <f t="shared" si="0"/>
        <v>2028</v>
      </c>
      <c r="T46" s="45">
        <f t="shared" si="0"/>
        <v>2029</v>
      </c>
      <c r="U46" s="45">
        <f t="shared" si="0"/>
        <v>2030</v>
      </c>
    </row>
    <row r="47" spans="2:21" ht="14.45" hidden="1" customHeight="1" thickBot="1">
      <c r="B47" s="48"/>
      <c r="C47" s="48"/>
      <c r="D47" s="48"/>
      <c r="E47" s="68"/>
      <c r="F47" s="48" t="s">
        <v>47</v>
      </c>
      <c r="G47" s="48" t="s">
        <v>47</v>
      </c>
      <c r="H47" s="48" t="s">
        <v>47</v>
      </c>
      <c r="I47" s="48" t="s">
        <v>47</v>
      </c>
      <c r="J47" s="48" t="s">
        <v>47</v>
      </c>
      <c r="K47" s="48" t="s">
        <v>47</v>
      </c>
      <c r="L47" s="48" t="s">
        <v>47</v>
      </c>
      <c r="M47" s="48" t="s">
        <v>47</v>
      </c>
      <c r="N47" s="48" t="s">
        <v>47</v>
      </c>
      <c r="O47" s="48" t="s">
        <v>47</v>
      </c>
      <c r="P47" s="48" t="s">
        <v>47</v>
      </c>
      <c r="Q47" s="48" t="s">
        <v>48</v>
      </c>
      <c r="R47" s="48" t="s">
        <v>48</v>
      </c>
      <c r="S47" s="48" t="s">
        <v>48</v>
      </c>
      <c r="T47" s="48" t="s">
        <v>48</v>
      </c>
      <c r="U47" s="48" t="s">
        <v>48</v>
      </c>
    </row>
    <row r="48" spans="2:21" ht="15.95" thickBot="1">
      <c r="B48" s="7"/>
      <c r="C48" s="7"/>
      <c r="D48" s="7"/>
      <c r="E48" s="8" t="s">
        <v>13</v>
      </c>
      <c r="F48" s="9" t="str">
        <f>F47&amp;" "&amp;F46</f>
        <v>FY 2015</v>
      </c>
      <c r="G48" s="9" t="str">
        <f t="shared" ref="G48:P48" si="1">G47&amp;" "&amp;G46</f>
        <v>FY 2016</v>
      </c>
      <c r="H48" s="9" t="str">
        <f t="shared" si="1"/>
        <v>FY 2017</v>
      </c>
      <c r="I48" s="9" t="str">
        <f t="shared" si="1"/>
        <v>FY 2018</v>
      </c>
      <c r="J48" s="9" t="str">
        <f t="shared" si="1"/>
        <v>FY 2019</v>
      </c>
      <c r="K48" s="9" t="str">
        <f t="shared" si="1"/>
        <v>FY 2020</v>
      </c>
      <c r="L48" s="9" t="str">
        <f t="shared" si="1"/>
        <v>FY 2021</v>
      </c>
      <c r="M48" s="9" t="str">
        <f t="shared" si="1"/>
        <v>FY 2022</v>
      </c>
      <c r="N48" s="9" t="str">
        <f t="shared" si="1"/>
        <v>FY 2023</v>
      </c>
      <c r="O48" s="9" t="str">
        <f t="shared" si="1"/>
        <v>FY 2024</v>
      </c>
      <c r="P48" s="9" t="str">
        <f t="shared" si="1"/>
        <v>FY 2025</v>
      </c>
      <c r="Q48" s="9" t="str">
        <f>Q46&amp;Q47</f>
        <v>2026E</v>
      </c>
      <c r="R48" s="9" t="str">
        <f t="shared" ref="R48:U48" si="2">R46&amp;R47</f>
        <v>2027E</v>
      </c>
      <c r="S48" s="9" t="str">
        <f t="shared" si="2"/>
        <v>2028E</v>
      </c>
      <c r="T48" s="9" t="str">
        <f t="shared" si="2"/>
        <v>2029E</v>
      </c>
      <c r="U48" s="9" t="str">
        <f t="shared" si="2"/>
        <v>2030E</v>
      </c>
    </row>
    <row r="49" spans="2:21">
      <c r="B49" s="2"/>
      <c r="C49" s="2"/>
      <c r="D49" s="2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1">
      <c r="B50" s="69" t="s">
        <v>49</v>
      </c>
      <c r="C50" s="69"/>
      <c r="D50" s="69"/>
      <c r="E50" s="70" t="s">
        <v>37</v>
      </c>
      <c r="F50" s="71">
        <v>192.1</v>
      </c>
      <c r="G50" s="71">
        <v>220</v>
      </c>
      <c r="H50" s="71">
        <v>243.3</v>
      </c>
      <c r="I50" s="71">
        <v>267.8</v>
      </c>
      <c r="J50" s="71">
        <v>289.3</v>
      </c>
      <c r="K50" s="71">
        <v>205.7</v>
      </c>
      <c r="L50" s="71">
        <v>304.89999999999998</v>
      </c>
      <c r="M50" s="71">
        <v>332.6</v>
      </c>
      <c r="N50" s="71">
        <v>364.3</v>
      </c>
      <c r="O50" s="71">
        <v>389.9</v>
      </c>
      <c r="P50" s="71">
        <v>425.1</v>
      </c>
      <c r="Q50" s="72">
        <f>P50*(1+$F$8)</f>
        <v>459.10800000000006</v>
      </c>
      <c r="R50" s="72">
        <f t="shared" ref="R50:U50" si="3">Q50*(1+$F$8)</f>
        <v>495.8366400000001</v>
      </c>
      <c r="S50" s="72">
        <f t="shared" si="3"/>
        <v>535.50357120000012</v>
      </c>
      <c r="T50" s="72">
        <f t="shared" si="3"/>
        <v>578.34385689600015</v>
      </c>
      <c r="U50" s="72">
        <f t="shared" si="3"/>
        <v>624.61136544768021</v>
      </c>
    </row>
    <row r="51" spans="2:21">
      <c r="B51" s="69" t="s">
        <v>50</v>
      </c>
      <c r="C51" s="69"/>
      <c r="D51" s="69"/>
      <c r="E51" s="70" t="s">
        <v>37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0</v>
      </c>
      <c r="P51" s="71">
        <v>0</v>
      </c>
      <c r="Q51" s="71">
        <v>0</v>
      </c>
      <c r="R51" s="71">
        <v>0</v>
      </c>
      <c r="S51" s="71">
        <v>0</v>
      </c>
      <c r="T51" s="71">
        <v>0</v>
      </c>
      <c r="U51" s="71">
        <v>0</v>
      </c>
    </row>
    <row r="52" spans="2:21">
      <c r="B52" s="162" t="s">
        <v>51</v>
      </c>
      <c r="C52" s="162"/>
      <c r="D52" s="162"/>
      <c r="E52" s="163" t="s">
        <v>37</v>
      </c>
      <c r="F52" s="162">
        <f>SUM(F50:F51)</f>
        <v>192.1</v>
      </c>
      <c r="G52" s="162">
        <f t="shared" ref="G52:U52" si="4">SUM(G50:G51)</f>
        <v>220</v>
      </c>
      <c r="H52" s="162">
        <f t="shared" si="4"/>
        <v>243.3</v>
      </c>
      <c r="I52" s="162">
        <f t="shared" si="4"/>
        <v>267.8</v>
      </c>
      <c r="J52" s="162">
        <f t="shared" si="4"/>
        <v>289.3</v>
      </c>
      <c r="K52" s="162">
        <f t="shared" si="4"/>
        <v>205.7</v>
      </c>
      <c r="L52" s="162">
        <f t="shared" si="4"/>
        <v>304.89999999999998</v>
      </c>
      <c r="M52" s="162">
        <f t="shared" si="4"/>
        <v>332.6</v>
      </c>
      <c r="N52" s="162">
        <f t="shared" si="4"/>
        <v>364.3</v>
      </c>
      <c r="O52" s="162">
        <f t="shared" si="4"/>
        <v>389.9</v>
      </c>
      <c r="P52" s="162">
        <f t="shared" si="4"/>
        <v>425.1</v>
      </c>
      <c r="Q52" s="164">
        <f t="shared" si="4"/>
        <v>459.10800000000006</v>
      </c>
      <c r="R52" s="164">
        <f t="shared" si="4"/>
        <v>495.8366400000001</v>
      </c>
      <c r="S52" s="164">
        <f t="shared" si="4"/>
        <v>535.50357120000012</v>
      </c>
      <c r="T52" s="164">
        <f t="shared" si="4"/>
        <v>578.34385689600015</v>
      </c>
      <c r="U52" s="164">
        <f t="shared" si="4"/>
        <v>624.61136544768021</v>
      </c>
    </row>
    <row r="53" spans="2:21">
      <c r="B53" s="69"/>
      <c r="C53" s="69"/>
      <c r="D53" s="69"/>
      <c r="E53" s="70" t="s">
        <v>37</v>
      </c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72"/>
      <c r="R53" s="72"/>
      <c r="S53" s="72"/>
      <c r="T53" s="72"/>
      <c r="U53" s="72"/>
    </row>
    <row r="54" spans="2:21">
      <c r="B54" s="69" t="s">
        <v>52</v>
      </c>
      <c r="C54" s="69"/>
      <c r="D54" s="69"/>
      <c r="E54" s="73" t="s">
        <v>37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0</v>
      </c>
      <c r="S54" s="71">
        <v>0</v>
      </c>
      <c r="T54" s="71">
        <v>0</v>
      </c>
      <c r="U54" s="71">
        <v>0</v>
      </c>
    </row>
    <row r="55" spans="2:21">
      <c r="B55" s="162" t="s">
        <v>53</v>
      </c>
      <c r="C55" s="162"/>
      <c r="D55" s="162"/>
      <c r="E55" s="163" t="s">
        <v>37</v>
      </c>
      <c r="F55" s="162">
        <f t="shared" ref="F55:U55" si="5">SUM(F52:F54)</f>
        <v>192.1</v>
      </c>
      <c r="G55" s="162">
        <f t="shared" si="5"/>
        <v>220</v>
      </c>
      <c r="H55" s="162">
        <f t="shared" si="5"/>
        <v>243.3</v>
      </c>
      <c r="I55" s="162">
        <f t="shared" si="5"/>
        <v>267.8</v>
      </c>
      <c r="J55" s="162">
        <f t="shared" si="5"/>
        <v>289.3</v>
      </c>
      <c r="K55" s="162">
        <f t="shared" si="5"/>
        <v>205.7</v>
      </c>
      <c r="L55" s="162">
        <f t="shared" si="5"/>
        <v>304.89999999999998</v>
      </c>
      <c r="M55" s="162">
        <f t="shared" si="5"/>
        <v>332.6</v>
      </c>
      <c r="N55" s="162">
        <f t="shared" si="5"/>
        <v>364.3</v>
      </c>
      <c r="O55" s="162">
        <f t="shared" si="5"/>
        <v>389.9</v>
      </c>
      <c r="P55" s="162">
        <f t="shared" si="5"/>
        <v>425.1</v>
      </c>
      <c r="Q55" s="164">
        <f t="shared" si="5"/>
        <v>459.10800000000006</v>
      </c>
      <c r="R55" s="164">
        <f t="shared" si="5"/>
        <v>495.8366400000001</v>
      </c>
      <c r="S55" s="164">
        <f t="shared" si="5"/>
        <v>535.50357120000012</v>
      </c>
      <c r="T55" s="164">
        <f t="shared" si="5"/>
        <v>578.34385689600015</v>
      </c>
      <c r="U55" s="164">
        <f t="shared" si="5"/>
        <v>624.61136544768021</v>
      </c>
    </row>
    <row r="56" spans="2:21">
      <c r="B56" s="69"/>
      <c r="C56" s="69"/>
      <c r="D56" s="69"/>
      <c r="E56" s="70" t="s">
        <v>37</v>
      </c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72"/>
      <c r="R56" s="72"/>
      <c r="S56" s="72"/>
      <c r="T56" s="72"/>
      <c r="U56" s="72"/>
    </row>
    <row r="57" spans="2:21">
      <c r="B57" s="69" t="s">
        <v>54</v>
      </c>
      <c r="C57" s="69"/>
      <c r="D57" s="69"/>
      <c r="E57" s="70" t="s">
        <v>37</v>
      </c>
      <c r="F57" s="74">
        <v>53.7</v>
      </c>
      <c r="G57" s="74">
        <v>56.7</v>
      </c>
      <c r="H57" s="74">
        <v>57.1</v>
      </c>
      <c r="I57" s="74">
        <v>60.6</v>
      </c>
      <c r="J57" s="74">
        <v>75.599999999999994</v>
      </c>
      <c r="K57" s="74">
        <v>66.3</v>
      </c>
      <c r="L57" s="74">
        <v>76.8</v>
      </c>
      <c r="M57" s="74">
        <v>86.7</v>
      </c>
      <c r="N57" s="74">
        <v>101.3</v>
      </c>
      <c r="O57" s="74">
        <v>127.6</v>
      </c>
      <c r="P57" s="74">
        <v>128.9</v>
      </c>
      <c r="Q57" s="72">
        <f>Q55*$F$9</f>
        <v>137.73240000000001</v>
      </c>
      <c r="R57" s="72">
        <f>R55*$F$9</f>
        <v>148.75099200000002</v>
      </c>
      <c r="S57" s="72">
        <f>S55*$F$9</f>
        <v>160.65107136000003</v>
      </c>
      <c r="T57" s="72">
        <f>T55*$F$9</f>
        <v>173.50315706880005</v>
      </c>
      <c r="U57" s="72">
        <f>U55*$F$9</f>
        <v>187.38340963430406</v>
      </c>
    </row>
    <row r="58" spans="2:21">
      <c r="B58" s="69" t="s">
        <v>55</v>
      </c>
      <c r="C58" s="69"/>
      <c r="D58" s="69"/>
      <c r="E58" s="70" t="s">
        <v>37</v>
      </c>
      <c r="F58" s="74">
        <v>0</v>
      </c>
      <c r="G58" s="74">
        <v>0</v>
      </c>
      <c r="H58" s="74">
        <v>0</v>
      </c>
      <c r="I58" s="74">
        <v>0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74">
        <v>0</v>
      </c>
      <c r="T58" s="74">
        <v>0</v>
      </c>
      <c r="U58" s="74">
        <v>0</v>
      </c>
    </row>
    <row r="59" spans="2:21">
      <c r="B59" s="69" t="s">
        <v>56</v>
      </c>
      <c r="C59" s="69"/>
      <c r="D59" s="69"/>
      <c r="E59" s="70" t="s">
        <v>37</v>
      </c>
      <c r="F59" s="74">
        <v>0.9</v>
      </c>
      <c r="G59" s="74">
        <v>1.2</v>
      </c>
      <c r="H59" s="74">
        <v>1.3</v>
      </c>
      <c r="I59" s="74">
        <v>3.3</v>
      </c>
      <c r="J59" s="74">
        <v>3.1</v>
      </c>
      <c r="K59" s="74">
        <v>3.3</v>
      </c>
      <c r="L59" s="74">
        <v>3.4</v>
      </c>
      <c r="M59" s="74">
        <v>3.5</v>
      </c>
      <c r="N59" s="74">
        <v>3.4</v>
      </c>
      <c r="O59" s="74">
        <v>3.6</v>
      </c>
      <c r="P59" s="74">
        <v>3.9</v>
      </c>
      <c r="Q59" s="74">
        <f>P59*(1+$F$10)</f>
        <v>3.9779999999999998</v>
      </c>
      <c r="R59" s="74">
        <f t="shared" ref="R59:U59" si="6">Q59*(1+$F$10)</f>
        <v>4.0575599999999996</v>
      </c>
      <c r="S59" s="74">
        <f t="shared" si="6"/>
        <v>4.1387111999999995</v>
      </c>
      <c r="T59" s="74">
        <f t="shared" si="6"/>
        <v>4.2214854239999999</v>
      </c>
      <c r="U59" s="74">
        <f t="shared" si="6"/>
        <v>4.30591513248</v>
      </c>
    </row>
    <row r="60" spans="2:21">
      <c r="B60" s="69" t="s">
        <v>57</v>
      </c>
      <c r="C60" s="75"/>
      <c r="D60" s="75"/>
      <c r="E60" s="73" t="s">
        <v>37</v>
      </c>
      <c r="F60" s="74">
        <v>0.4</v>
      </c>
      <c r="G60" s="74">
        <v>0.4</v>
      </c>
      <c r="H60" s="74">
        <v>6.5</v>
      </c>
      <c r="I60" s="74">
        <v>5.3</v>
      </c>
      <c r="J60" s="74">
        <v>-3.1</v>
      </c>
      <c r="K60" s="74">
        <v>1</v>
      </c>
      <c r="L60" s="74">
        <v>-1.4</v>
      </c>
      <c r="M60" s="74">
        <v>1.1000000000000001</v>
      </c>
      <c r="N60" s="74">
        <v>1.6</v>
      </c>
      <c r="O60" s="74">
        <v>2.4</v>
      </c>
      <c r="P60" s="74">
        <v>4.4000000000000004</v>
      </c>
      <c r="Q60" s="74">
        <v>4.4000000000000004</v>
      </c>
      <c r="R60" s="74">
        <v>4.4000000000000004</v>
      </c>
      <c r="S60" s="74">
        <v>4.4000000000000004</v>
      </c>
      <c r="T60" s="74">
        <v>4.4000000000000004</v>
      </c>
      <c r="U60" s="74">
        <v>4.4000000000000004</v>
      </c>
    </row>
    <row r="61" spans="2:21">
      <c r="B61" s="76" t="s">
        <v>58</v>
      </c>
      <c r="C61" s="77"/>
      <c r="D61" s="77"/>
      <c r="E61" s="78" t="s">
        <v>37</v>
      </c>
      <c r="F61" s="79">
        <f>SUM(F57:F60)</f>
        <v>55</v>
      </c>
      <c r="G61" s="79">
        <f t="shared" ref="G61:U61" si="7">SUM(G57:G60)</f>
        <v>58.300000000000004</v>
      </c>
      <c r="H61" s="79">
        <f t="shared" si="7"/>
        <v>64.900000000000006</v>
      </c>
      <c r="I61" s="79">
        <f t="shared" si="7"/>
        <v>69.2</v>
      </c>
      <c r="J61" s="79">
        <f t="shared" si="7"/>
        <v>75.599999999999994</v>
      </c>
      <c r="K61" s="79">
        <f t="shared" si="7"/>
        <v>70.599999999999994</v>
      </c>
      <c r="L61" s="79">
        <f t="shared" si="7"/>
        <v>78.8</v>
      </c>
      <c r="M61" s="79">
        <f t="shared" si="7"/>
        <v>91.3</v>
      </c>
      <c r="N61" s="79">
        <f t="shared" si="7"/>
        <v>106.3</v>
      </c>
      <c r="O61" s="79">
        <f t="shared" si="7"/>
        <v>133.6</v>
      </c>
      <c r="P61" s="79">
        <f t="shared" si="7"/>
        <v>137.20000000000002</v>
      </c>
      <c r="Q61" s="79">
        <f t="shared" si="7"/>
        <v>146.11040000000003</v>
      </c>
      <c r="R61" s="79">
        <f t="shared" si="7"/>
        <v>157.20855200000003</v>
      </c>
      <c r="S61" s="79">
        <f t="shared" si="7"/>
        <v>169.18978256000003</v>
      </c>
      <c r="T61" s="79">
        <f t="shared" si="7"/>
        <v>182.12464249280006</v>
      </c>
      <c r="U61" s="79">
        <f t="shared" si="7"/>
        <v>196.08932476678407</v>
      </c>
    </row>
    <row r="62" spans="2:21">
      <c r="B62" s="69"/>
      <c r="C62" s="69"/>
      <c r="D62" s="69"/>
      <c r="E62" s="70" t="s">
        <v>37</v>
      </c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72"/>
      <c r="R62" s="72"/>
      <c r="S62" s="72"/>
      <c r="T62" s="72"/>
      <c r="U62" s="72"/>
    </row>
    <row r="63" spans="2:21">
      <c r="B63" s="162" t="s">
        <v>59</v>
      </c>
      <c r="C63" s="162"/>
      <c r="D63" s="162"/>
      <c r="E63" s="163" t="s">
        <v>37</v>
      </c>
      <c r="F63" s="162">
        <v>137.19999999999999</v>
      </c>
      <c r="G63" s="162">
        <v>161.6</v>
      </c>
      <c r="H63" s="162">
        <v>178.3</v>
      </c>
      <c r="I63" s="162">
        <v>198.6</v>
      </c>
      <c r="J63" s="162">
        <v>213.7</v>
      </c>
      <c r="K63" s="162">
        <v>135.1</v>
      </c>
      <c r="L63" s="162">
        <v>226.1</v>
      </c>
      <c r="M63" s="162">
        <v>241.3</v>
      </c>
      <c r="N63" s="162">
        <v>258</v>
      </c>
      <c r="O63" s="162">
        <v>256.3</v>
      </c>
      <c r="P63" s="162">
        <v>287.89999999999998</v>
      </c>
      <c r="Q63" s="164">
        <f>Q52-Q61</f>
        <v>312.99760000000003</v>
      </c>
      <c r="R63" s="164">
        <f>R52-R61</f>
        <v>338.62808800000005</v>
      </c>
      <c r="S63" s="164">
        <f>S52-S61</f>
        <v>366.3137886400001</v>
      </c>
      <c r="T63" s="164">
        <f>T52-T61</f>
        <v>396.21921440320011</v>
      </c>
      <c r="U63" s="164">
        <f>U52-U61</f>
        <v>428.52204068089611</v>
      </c>
    </row>
    <row r="64" spans="2:21">
      <c r="B64" s="80" t="s">
        <v>60</v>
      </c>
      <c r="C64" s="80"/>
      <c r="D64" s="80"/>
      <c r="E64" s="81" t="s">
        <v>17</v>
      </c>
      <c r="F64" s="82">
        <f t="shared" ref="F64:U64" si="8">F63/F52</f>
        <v>0.71421134825611654</v>
      </c>
      <c r="G64" s="82">
        <f t="shared" si="8"/>
        <v>0.7345454545454545</v>
      </c>
      <c r="H64" s="82">
        <f t="shared" si="8"/>
        <v>0.73284011508425817</v>
      </c>
      <c r="I64" s="82">
        <f t="shared" si="8"/>
        <v>0.74159820761762507</v>
      </c>
      <c r="J64" s="82">
        <f t="shared" si="8"/>
        <v>0.73867957137919105</v>
      </c>
      <c r="K64" s="82">
        <f t="shared" si="8"/>
        <v>0.65678172095284393</v>
      </c>
      <c r="L64" s="82">
        <f t="shared" si="8"/>
        <v>0.74155460806821916</v>
      </c>
      <c r="M64" s="82">
        <f t="shared" si="8"/>
        <v>0.7254960914010824</v>
      </c>
      <c r="N64" s="82">
        <f t="shared" si="8"/>
        <v>0.70820752127367548</v>
      </c>
      <c r="O64" s="82">
        <f t="shared" si="8"/>
        <v>0.65734803795845098</v>
      </c>
      <c r="P64" s="82">
        <f t="shared" si="8"/>
        <v>0.67725241119736523</v>
      </c>
      <c r="Q64" s="82">
        <f t="shared" si="8"/>
        <v>0.68175157043658574</v>
      </c>
      <c r="R64" s="82">
        <f t="shared" si="8"/>
        <v>0.68294284988701115</v>
      </c>
      <c r="S64" s="82">
        <f t="shared" si="8"/>
        <v>0.68405480064144908</v>
      </c>
      <c r="T64" s="82">
        <f t="shared" si="8"/>
        <v>0.68509280366480951</v>
      </c>
      <c r="U64" s="82">
        <f t="shared" si="8"/>
        <v>0.68606186884505338</v>
      </c>
    </row>
    <row r="65" spans="2:21">
      <c r="B65" s="69"/>
      <c r="C65" s="69"/>
      <c r="D65" s="69"/>
      <c r="E65" s="70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72"/>
      <c r="R65" s="72"/>
      <c r="S65" s="72"/>
      <c r="T65" s="72"/>
      <c r="U65" s="72"/>
    </row>
    <row r="66" spans="2:21">
      <c r="B66" s="69" t="s">
        <v>61</v>
      </c>
      <c r="C66" s="69"/>
      <c r="D66" s="69"/>
      <c r="E66" s="70"/>
      <c r="F66" s="71" t="s">
        <v>62</v>
      </c>
      <c r="G66" s="71" t="s">
        <v>63</v>
      </c>
      <c r="H66" s="71" t="s">
        <v>63</v>
      </c>
      <c r="I66" s="71">
        <v>0.5</v>
      </c>
      <c r="J66" s="71">
        <v>0.5</v>
      </c>
      <c r="K66" s="71">
        <v>0.5</v>
      </c>
      <c r="L66" s="71">
        <v>0.5</v>
      </c>
      <c r="M66" s="71">
        <v>0.4</v>
      </c>
      <c r="N66" s="71">
        <v>0.5</v>
      </c>
      <c r="O66" s="71">
        <v>0.5</v>
      </c>
      <c r="P66" s="71">
        <v>0.5</v>
      </c>
      <c r="Q66" s="71">
        <v>0.5</v>
      </c>
      <c r="R66" s="71">
        <v>0.5</v>
      </c>
      <c r="S66" s="71">
        <v>0.5</v>
      </c>
      <c r="T66" s="71">
        <v>0.5</v>
      </c>
      <c r="U66" s="71">
        <v>0.5</v>
      </c>
    </row>
    <row r="67" spans="2:21">
      <c r="B67" s="69" t="s">
        <v>64</v>
      </c>
      <c r="C67" s="69"/>
      <c r="D67" s="69"/>
      <c r="E67" s="70" t="s">
        <v>37</v>
      </c>
      <c r="F67" s="71">
        <v>0.1</v>
      </c>
      <c r="G67" s="71">
        <v>0.1</v>
      </c>
      <c r="H67" s="71">
        <v>0.1</v>
      </c>
      <c r="I67" s="71">
        <v>0.2</v>
      </c>
      <c r="J67" s="71">
        <v>0.3</v>
      </c>
      <c r="K67" s="71">
        <v>0.2</v>
      </c>
      <c r="L67" s="71">
        <v>0</v>
      </c>
      <c r="M67" s="71">
        <v>0.4</v>
      </c>
      <c r="N67" s="71">
        <v>2.2000000000000002</v>
      </c>
      <c r="O67" s="71">
        <v>2.6</v>
      </c>
      <c r="P67" s="71">
        <v>2.6</v>
      </c>
      <c r="Q67" s="71">
        <v>2.6</v>
      </c>
      <c r="R67" s="71">
        <v>2.6</v>
      </c>
      <c r="S67" s="71">
        <v>2.6</v>
      </c>
      <c r="T67" s="71">
        <v>2.6</v>
      </c>
      <c r="U67" s="71">
        <v>2.6</v>
      </c>
    </row>
    <row r="68" spans="2:21">
      <c r="B68" s="162" t="s">
        <v>65</v>
      </c>
      <c r="C68" s="162"/>
      <c r="D68" s="162"/>
      <c r="E68" s="163" t="s">
        <v>37</v>
      </c>
      <c r="F68" s="162">
        <v>-0.1</v>
      </c>
      <c r="G68" s="162">
        <v>-0.1</v>
      </c>
      <c r="H68" s="162">
        <v>-0.1</v>
      </c>
      <c r="I68" s="162">
        <v>0.3</v>
      </c>
      <c r="J68" s="162">
        <v>0.2</v>
      </c>
      <c r="K68" s="162">
        <v>0.3</v>
      </c>
      <c r="L68" s="162">
        <v>0.5</v>
      </c>
      <c r="M68" s="162">
        <v>0.1</v>
      </c>
      <c r="N68" s="162">
        <v>-1.7</v>
      </c>
      <c r="O68" s="162">
        <v>-2.1</v>
      </c>
      <c r="P68" s="162">
        <v>-2.1</v>
      </c>
      <c r="Q68" s="164">
        <f>Q66-Q67</f>
        <v>-2.1</v>
      </c>
      <c r="R68" s="164">
        <f t="shared" ref="R68:U68" si="9">R66-R67</f>
        <v>-2.1</v>
      </c>
      <c r="S68" s="164">
        <f t="shared" si="9"/>
        <v>-2.1</v>
      </c>
      <c r="T68" s="164">
        <f t="shared" si="9"/>
        <v>-2.1</v>
      </c>
      <c r="U68" s="164">
        <f t="shared" si="9"/>
        <v>-2.1</v>
      </c>
    </row>
    <row r="69" spans="2:21">
      <c r="B69" s="69"/>
      <c r="C69" s="69"/>
      <c r="D69" s="69"/>
      <c r="E69" s="70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72"/>
      <c r="R69" s="72"/>
      <c r="S69" s="72"/>
      <c r="T69" s="72"/>
      <c r="U69" s="72"/>
    </row>
    <row r="70" spans="2:21">
      <c r="B70" s="69" t="s">
        <v>66</v>
      </c>
      <c r="C70" s="69"/>
      <c r="D70" s="69"/>
      <c r="E70" s="70"/>
      <c r="F70" s="71" t="s">
        <v>62</v>
      </c>
      <c r="G70" s="71" t="s">
        <v>63</v>
      </c>
      <c r="H70" s="71" t="s">
        <v>63</v>
      </c>
      <c r="I70" s="71" t="s">
        <v>63</v>
      </c>
      <c r="J70" s="71" t="s">
        <v>63</v>
      </c>
      <c r="K70" s="71" t="s">
        <v>63</v>
      </c>
      <c r="L70" s="71" t="s">
        <v>63</v>
      </c>
      <c r="M70" s="71" t="s">
        <v>63</v>
      </c>
      <c r="N70" s="71" t="s">
        <v>63</v>
      </c>
      <c r="O70" s="71" t="s">
        <v>63</v>
      </c>
      <c r="P70" s="71" t="s">
        <v>63</v>
      </c>
      <c r="Q70" s="71" t="s">
        <v>63</v>
      </c>
      <c r="R70" s="71" t="s">
        <v>63</v>
      </c>
      <c r="S70" s="71" t="s">
        <v>63</v>
      </c>
      <c r="T70" s="71" t="s">
        <v>63</v>
      </c>
      <c r="U70" s="71" t="s">
        <v>63</v>
      </c>
    </row>
    <row r="71" spans="2:21">
      <c r="B71" s="69" t="s">
        <v>67</v>
      </c>
      <c r="C71" s="69"/>
      <c r="D71" s="69"/>
      <c r="E71" s="70" t="s">
        <v>37</v>
      </c>
      <c r="F71" s="71">
        <v>0.1</v>
      </c>
      <c r="G71" s="71">
        <v>0.1</v>
      </c>
      <c r="H71" s="71">
        <v>0.1</v>
      </c>
      <c r="I71" s="71">
        <v>-0.2</v>
      </c>
      <c r="J71" s="71">
        <v>-0.3</v>
      </c>
      <c r="K71" s="71">
        <v>-0.2</v>
      </c>
      <c r="L71" s="71">
        <v>0</v>
      </c>
      <c r="M71" s="71">
        <v>-0.4</v>
      </c>
      <c r="N71" s="71">
        <v>-2.2000000000000002</v>
      </c>
      <c r="O71" s="71">
        <v>-2.6</v>
      </c>
      <c r="P71" s="71">
        <v>-2.6</v>
      </c>
      <c r="Q71" s="71">
        <v>-2.6</v>
      </c>
      <c r="R71" s="71">
        <v>-2.6</v>
      </c>
      <c r="S71" s="71">
        <v>-2.6</v>
      </c>
      <c r="T71" s="71">
        <v>-2.6</v>
      </c>
      <c r="U71" s="71">
        <v>-2.6</v>
      </c>
    </row>
    <row r="72" spans="2:21">
      <c r="B72" s="162" t="s">
        <v>68</v>
      </c>
      <c r="C72" s="162"/>
      <c r="D72" s="162"/>
      <c r="E72" s="163" t="s">
        <v>37</v>
      </c>
      <c r="F72" s="162">
        <v>137.19999999999999</v>
      </c>
      <c r="G72" s="162">
        <v>161.69999999999999</v>
      </c>
      <c r="H72" s="162">
        <v>178.3</v>
      </c>
      <c r="I72" s="162">
        <v>198.4</v>
      </c>
      <c r="J72" s="162">
        <v>213.9</v>
      </c>
      <c r="K72" s="162">
        <v>135</v>
      </c>
      <c r="L72" s="162">
        <v>225.7</v>
      </c>
      <c r="M72" s="162">
        <v>241.7</v>
      </c>
      <c r="N72" s="162">
        <v>262</v>
      </c>
      <c r="O72" s="162">
        <v>261</v>
      </c>
      <c r="P72" s="162">
        <v>292.60000000000002</v>
      </c>
      <c r="Q72" s="164">
        <f>Q63-(Q68)-(Q71)</f>
        <v>317.69760000000008</v>
      </c>
      <c r="R72" s="164">
        <f t="shared" ref="R72:U72" si="10">R63-(R68)-(R71)</f>
        <v>343.32808800000009</v>
      </c>
      <c r="S72" s="164">
        <f t="shared" si="10"/>
        <v>371.01378864000014</v>
      </c>
      <c r="T72" s="164">
        <f t="shared" si="10"/>
        <v>400.91921440320016</v>
      </c>
      <c r="U72" s="164">
        <f t="shared" si="10"/>
        <v>433.22204068089616</v>
      </c>
    </row>
    <row r="73" spans="2:21">
      <c r="B73" s="69"/>
      <c r="C73" s="69"/>
      <c r="D73" s="69"/>
      <c r="E73" s="70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72"/>
      <c r="R73" s="72"/>
      <c r="S73" s="72"/>
      <c r="T73" s="72"/>
      <c r="U73" s="72"/>
    </row>
    <row r="74" spans="2:21">
      <c r="B74" s="69" t="s">
        <v>69</v>
      </c>
      <c r="C74" s="69"/>
      <c r="D74" s="69"/>
      <c r="E74" s="70"/>
      <c r="F74" s="71" t="s">
        <v>62</v>
      </c>
      <c r="G74" s="71" t="s">
        <v>63</v>
      </c>
      <c r="H74" s="71" t="s">
        <v>63</v>
      </c>
      <c r="I74" s="71" t="s">
        <v>63</v>
      </c>
      <c r="J74" s="71" t="s">
        <v>63</v>
      </c>
      <c r="K74" s="71" t="s">
        <v>63</v>
      </c>
      <c r="L74" s="71" t="s">
        <v>63</v>
      </c>
      <c r="M74" s="71" t="s">
        <v>63</v>
      </c>
      <c r="N74" s="71" t="s">
        <v>63</v>
      </c>
      <c r="O74" s="71" t="s">
        <v>63</v>
      </c>
      <c r="P74" s="71" t="s">
        <v>63</v>
      </c>
      <c r="Q74" s="71" t="s">
        <v>63</v>
      </c>
      <c r="R74" s="71" t="s">
        <v>63</v>
      </c>
      <c r="S74" s="71" t="s">
        <v>63</v>
      </c>
      <c r="T74" s="71" t="s">
        <v>63</v>
      </c>
      <c r="U74" s="71" t="s">
        <v>63</v>
      </c>
    </row>
    <row r="75" spans="2:21">
      <c r="B75" s="69" t="s">
        <v>70</v>
      </c>
      <c r="C75" s="69"/>
      <c r="D75" s="69"/>
      <c r="E75" s="70"/>
      <c r="F75" s="71" t="s">
        <v>62</v>
      </c>
      <c r="G75" s="71" t="s">
        <v>63</v>
      </c>
      <c r="H75" s="71">
        <v>0.2</v>
      </c>
      <c r="I75" s="71">
        <v>0</v>
      </c>
      <c r="J75" s="71" t="s">
        <v>63</v>
      </c>
      <c r="K75" s="71" t="s">
        <v>63</v>
      </c>
      <c r="L75" s="71" t="s">
        <v>63</v>
      </c>
      <c r="M75" s="71" t="s">
        <v>63</v>
      </c>
      <c r="N75" s="71" t="s">
        <v>63</v>
      </c>
      <c r="O75" s="71" t="s">
        <v>63</v>
      </c>
      <c r="P75" s="71" t="s">
        <v>63</v>
      </c>
      <c r="Q75" s="71" t="s">
        <v>63</v>
      </c>
      <c r="R75" s="71" t="s">
        <v>63</v>
      </c>
      <c r="S75" s="71" t="s">
        <v>63</v>
      </c>
      <c r="T75" s="71" t="s">
        <v>63</v>
      </c>
      <c r="U75" s="71" t="s">
        <v>63</v>
      </c>
    </row>
    <row r="76" spans="2:21">
      <c r="B76" s="69" t="s">
        <v>71</v>
      </c>
      <c r="C76" s="69"/>
      <c r="D76" s="69"/>
      <c r="E76" s="70"/>
      <c r="F76" s="71" t="s">
        <v>62</v>
      </c>
      <c r="G76" s="71" t="s">
        <v>63</v>
      </c>
      <c r="H76" s="71" t="s">
        <v>63</v>
      </c>
      <c r="I76" s="71" t="s">
        <v>63</v>
      </c>
      <c r="J76" s="71" t="s">
        <v>63</v>
      </c>
      <c r="K76" s="71" t="s">
        <v>63</v>
      </c>
      <c r="L76" s="71" t="s">
        <v>63</v>
      </c>
      <c r="M76" s="71" t="s">
        <v>63</v>
      </c>
      <c r="N76" s="71" t="s">
        <v>63</v>
      </c>
      <c r="O76" s="71" t="s">
        <v>63</v>
      </c>
      <c r="P76" s="71" t="s">
        <v>63</v>
      </c>
      <c r="Q76" s="71" t="s">
        <v>63</v>
      </c>
      <c r="R76" s="71" t="s">
        <v>63</v>
      </c>
      <c r="S76" s="71" t="s">
        <v>63</v>
      </c>
      <c r="T76" s="71" t="s">
        <v>63</v>
      </c>
      <c r="U76" s="71" t="s">
        <v>63</v>
      </c>
    </row>
    <row r="77" spans="2:21">
      <c r="B77" s="69" t="s">
        <v>72</v>
      </c>
      <c r="C77" s="69"/>
      <c r="D77" s="69"/>
      <c r="E77" s="70"/>
      <c r="F77" s="71" t="s">
        <v>62</v>
      </c>
      <c r="G77" s="71" t="s">
        <v>63</v>
      </c>
      <c r="H77" s="71" t="s">
        <v>63</v>
      </c>
      <c r="I77" s="71" t="s">
        <v>63</v>
      </c>
      <c r="J77" s="71" t="s">
        <v>63</v>
      </c>
      <c r="K77" s="71" t="s">
        <v>63</v>
      </c>
      <c r="L77" s="71" t="s">
        <v>63</v>
      </c>
      <c r="M77" s="71" t="s">
        <v>63</v>
      </c>
      <c r="N77" s="71" t="s">
        <v>63</v>
      </c>
      <c r="O77" s="71" t="s">
        <v>63</v>
      </c>
      <c r="P77" s="71" t="s">
        <v>63</v>
      </c>
      <c r="Q77" s="71" t="s">
        <v>63</v>
      </c>
      <c r="R77" s="71" t="s">
        <v>63</v>
      </c>
      <c r="S77" s="71" t="s">
        <v>63</v>
      </c>
      <c r="T77" s="71" t="s">
        <v>63</v>
      </c>
      <c r="U77" s="71" t="s">
        <v>63</v>
      </c>
    </row>
    <row r="78" spans="2:21">
      <c r="B78" s="69" t="s">
        <v>73</v>
      </c>
      <c r="C78" s="69"/>
      <c r="D78" s="69"/>
      <c r="E78" s="70" t="s">
        <v>37</v>
      </c>
      <c r="F78" s="71">
        <v>0.1</v>
      </c>
      <c r="G78" s="71">
        <v>0.1</v>
      </c>
      <c r="H78" s="71">
        <v>-0.1</v>
      </c>
      <c r="I78" s="71">
        <v>0.2</v>
      </c>
      <c r="J78" s="71">
        <v>0.3</v>
      </c>
      <c r="K78" s="71">
        <v>0.2</v>
      </c>
      <c r="L78" s="71">
        <v>0</v>
      </c>
      <c r="M78" s="71">
        <v>0.4</v>
      </c>
      <c r="N78" s="71">
        <v>2.2000000000000002</v>
      </c>
      <c r="O78" s="71">
        <v>2.6</v>
      </c>
      <c r="P78" s="71">
        <v>2.6</v>
      </c>
      <c r="Q78" s="71">
        <v>2.6</v>
      </c>
      <c r="R78" s="71">
        <v>2.6</v>
      </c>
      <c r="S78" s="71">
        <v>2.6</v>
      </c>
      <c r="T78" s="71">
        <v>2.6</v>
      </c>
      <c r="U78" s="71">
        <v>2.6</v>
      </c>
    </row>
    <row r="79" spans="2:21">
      <c r="B79" s="162" t="s">
        <v>74</v>
      </c>
      <c r="C79" s="162"/>
      <c r="D79" s="162"/>
      <c r="E79" s="163" t="s">
        <v>37</v>
      </c>
      <c r="F79" s="162">
        <v>137.1</v>
      </c>
      <c r="G79" s="162">
        <v>161.5</v>
      </c>
      <c r="H79" s="162">
        <v>178.2</v>
      </c>
      <c r="I79" s="162">
        <v>198.3</v>
      </c>
      <c r="J79" s="162">
        <v>213.6</v>
      </c>
      <c r="K79" s="162">
        <v>134.80000000000001</v>
      </c>
      <c r="L79" s="162">
        <v>225.6</v>
      </c>
      <c r="M79" s="162">
        <v>241.3</v>
      </c>
      <c r="N79" s="162">
        <v>259.8</v>
      </c>
      <c r="O79" s="162">
        <v>258.39999999999998</v>
      </c>
      <c r="P79" s="162">
        <v>290</v>
      </c>
      <c r="Q79" s="164">
        <f>Q72-Q78</f>
        <v>315.09760000000006</v>
      </c>
      <c r="R79" s="164">
        <f t="shared" ref="R79:U79" si="11">R72-R78</f>
        <v>340.72808800000007</v>
      </c>
      <c r="S79" s="164">
        <f t="shared" si="11"/>
        <v>368.41378864000012</v>
      </c>
      <c r="T79" s="164">
        <f t="shared" si="11"/>
        <v>398.31921440320014</v>
      </c>
      <c r="U79" s="164">
        <f t="shared" si="11"/>
        <v>430.62204068089613</v>
      </c>
    </row>
    <row r="80" spans="2:21">
      <c r="B80" s="69"/>
      <c r="C80" s="69"/>
      <c r="D80" s="69"/>
      <c r="E80" s="70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2"/>
      <c r="R80" s="72"/>
      <c r="S80" s="72"/>
      <c r="T80" s="72"/>
      <c r="U80" s="72"/>
    </row>
    <row r="81" spans="2:31">
      <c r="B81" s="69" t="s">
        <v>75</v>
      </c>
      <c r="C81" s="69"/>
      <c r="D81" s="69"/>
      <c r="E81" s="70" t="s">
        <v>37</v>
      </c>
      <c r="F81" s="71">
        <v>27.6</v>
      </c>
      <c r="G81" s="71">
        <v>32</v>
      </c>
      <c r="H81" s="71">
        <v>34.1</v>
      </c>
      <c r="I81" s="71">
        <v>37.799999999999997</v>
      </c>
      <c r="J81" s="71">
        <v>40.5</v>
      </c>
      <c r="K81" s="71">
        <v>25</v>
      </c>
      <c r="L81" s="71">
        <v>42.6</v>
      </c>
      <c r="M81" s="71">
        <v>45.6</v>
      </c>
      <c r="N81" s="71">
        <v>60.6</v>
      </c>
      <c r="O81" s="71">
        <v>65.7</v>
      </c>
      <c r="P81" s="71">
        <v>72.900000000000006</v>
      </c>
      <c r="Q81" s="72">
        <f>P81*(1+$F$11)</f>
        <v>79.461000000000013</v>
      </c>
      <c r="R81" s="72">
        <f t="shared" ref="R81:U81" si="12">Q81*(1+$F$11)</f>
        <v>86.612490000000022</v>
      </c>
      <c r="S81" s="72">
        <f t="shared" si="12"/>
        <v>94.407614100000032</v>
      </c>
      <c r="T81" s="72">
        <f t="shared" si="12"/>
        <v>102.90429936900004</v>
      </c>
      <c r="U81" s="72">
        <f t="shared" si="12"/>
        <v>112.16568631221006</v>
      </c>
    </row>
    <row r="82" spans="2:31">
      <c r="B82" s="162" t="s">
        <v>76</v>
      </c>
      <c r="C82" s="162"/>
      <c r="D82" s="162"/>
      <c r="E82" s="163" t="s">
        <v>37</v>
      </c>
      <c r="F82" s="162">
        <v>109.5</v>
      </c>
      <c r="G82" s="162">
        <v>129.5</v>
      </c>
      <c r="H82" s="162">
        <v>144.1</v>
      </c>
      <c r="I82" s="162">
        <v>160.5</v>
      </c>
      <c r="J82" s="162">
        <v>173.1</v>
      </c>
      <c r="K82" s="162">
        <v>109.8</v>
      </c>
      <c r="L82" s="162">
        <v>183.1</v>
      </c>
      <c r="M82" s="162">
        <v>195.7</v>
      </c>
      <c r="N82" s="162">
        <v>199.2</v>
      </c>
      <c r="O82" s="162">
        <v>192.7</v>
      </c>
      <c r="P82" s="162">
        <v>217.1</v>
      </c>
      <c r="Q82" s="164">
        <f>Q79-Q81</f>
        <v>235.63660000000004</v>
      </c>
      <c r="R82" s="164">
        <f t="shared" ref="R82:U82" si="13">R79-R81</f>
        <v>254.11559800000003</v>
      </c>
      <c r="S82" s="164">
        <f t="shared" si="13"/>
        <v>274.00617454000007</v>
      </c>
      <c r="T82" s="164">
        <f t="shared" si="13"/>
        <v>295.41491503420008</v>
      </c>
      <c r="U82" s="164">
        <f t="shared" si="13"/>
        <v>318.45635436868611</v>
      </c>
    </row>
    <row r="83" spans="2:31">
      <c r="B83" s="69"/>
      <c r="C83" s="69"/>
      <c r="D83" s="69"/>
      <c r="E83" s="70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72"/>
      <c r="R83" s="72"/>
      <c r="S83" s="72"/>
      <c r="T83" s="72"/>
      <c r="U83" s="72"/>
    </row>
    <row r="84" spans="2:31">
      <c r="B84" s="69" t="s">
        <v>77</v>
      </c>
      <c r="C84" s="69"/>
      <c r="D84" s="69"/>
      <c r="E84" s="70"/>
      <c r="F84" s="71" t="s">
        <v>62</v>
      </c>
      <c r="G84" s="71" t="s">
        <v>63</v>
      </c>
      <c r="H84" s="71" t="s">
        <v>63</v>
      </c>
      <c r="I84" s="71" t="s">
        <v>63</v>
      </c>
      <c r="J84" s="71" t="s">
        <v>63</v>
      </c>
      <c r="K84" s="71" t="s">
        <v>63</v>
      </c>
      <c r="L84" s="71" t="s">
        <v>63</v>
      </c>
      <c r="M84" s="71" t="s">
        <v>63</v>
      </c>
      <c r="N84" s="71" t="s">
        <v>63</v>
      </c>
      <c r="O84" s="71" t="s">
        <v>63</v>
      </c>
      <c r="P84" s="71" t="s">
        <v>63</v>
      </c>
      <c r="Q84" s="71" t="s">
        <v>63</v>
      </c>
      <c r="R84" s="71" t="s">
        <v>63</v>
      </c>
      <c r="S84" s="71" t="s">
        <v>63</v>
      </c>
      <c r="T84" s="71" t="s">
        <v>63</v>
      </c>
      <c r="U84" s="71" t="s">
        <v>63</v>
      </c>
    </row>
    <row r="85" spans="2:31" s="83" customFormat="1">
      <c r="B85" s="69" t="s">
        <v>78</v>
      </c>
      <c r="C85" s="69"/>
      <c r="D85" s="69"/>
      <c r="E85" s="70"/>
      <c r="F85" s="71" t="s">
        <v>62</v>
      </c>
      <c r="G85" s="71" t="s">
        <v>63</v>
      </c>
      <c r="H85" s="71" t="s">
        <v>63</v>
      </c>
      <c r="I85" s="71" t="s">
        <v>63</v>
      </c>
      <c r="J85" s="71" t="s">
        <v>63</v>
      </c>
      <c r="K85" s="71" t="s">
        <v>63</v>
      </c>
      <c r="L85" s="71" t="s">
        <v>63</v>
      </c>
      <c r="M85" s="71" t="s">
        <v>63</v>
      </c>
      <c r="N85" s="71" t="s">
        <v>63</v>
      </c>
      <c r="O85" s="71" t="s">
        <v>63</v>
      </c>
      <c r="P85" s="71" t="s">
        <v>63</v>
      </c>
      <c r="Q85" s="71" t="s">
        <v>63</v>
      </c>
      <c r="R85" s="71" t="s">
        <v>63</v>
      </c>
      <c r="S85" s="71" t="s">
        <v>63</v>
      </c>
      <c r="T85" s="71" t="s">
        <v>63</v>
      </c>
      <c r="U85" s="71" t="s">
        <v>63</v>
      </c>
    </row>
    <row r="86" spans="2:31" s="83" customFormat="1">
      <c r="B86" s="162" t="s">
        <v>79</v>
      </c>
      <c r="C86" s="162"/>
      <c r="D86" s="162"/>
      <c r="E86" s="163" t="s">
        <v>37</v>
      </c>
      <c r="F86" s="162">
        <v>109.5</v>
      </c>
      <c r="G86" s="162">
        <v>129.5</v>
      </c>
      <c r="H86" s="162">
        <v>144.1</v>
      </c>
      <c r="I86" s="162">
        <v>160.5</v>
      </c>
      <c r="J86" s="162">
        <v>173.1</v>
      </c>
      <c r="K86" s="162">
        <v>109.8</v>
      </c>
      <c r="L86" s="162">
        <v>183.1</v>
      </c>
      <c r="M86" s="162">
        <v>195.7</v>
      </c>
      <c r="N86" s="162">
        <v>199.2</v>
      </c>
      <c r="O86" s="162">
        <v>192.7</v>
      </c>
      <c r="P86" s="162">
        <v>217.1</v>
      </c>
      <c r="Q86" s="164">
        <f>Q82</f>
        <v>235.63660000000004</v>
      </c>
      <c r="R86" s="164">
        <f t="shared" ref="R86:U86" si="14">R82</f>
        <v>254.11559800000003</v>
      </c>
      <c r="S86" s="164">
        <f t="shared" si="14"/>
        <v>274.00617454000007</v>
      </c>
      <c r="T86" s="164">
        <f t="shared" si="14"/>
        <v>295.41491503420008</v>
      </c>
      <c r="U86" s="165">
        <f t="shared" si="14"/>
        <v>318.45635436868611</v>
      </c>
    </row>
    <row r="87" spans="2:31" s="83" customFormat="1">
      <c r="B87" s="69"/>
      <c r="C87" s="69"/>
      <c r="D87" s="69"/>
      <c r="E87" s="70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72"/>
      <c r="R87" s="72"/>
      <c r="S87" s="72"/>
      <c r="T87" s="72"/>
      <c r="U87" s="72"/>
    </row>
    <row r="88" spans="2:31" s="83" customFormat="1">
      <c r="B88" s="69" t="s">
        <v>27</v>
      </c>
      <c r="C88" s="69"/>
      <c r="D88" s="69"/>
      <c r="E88" s="70" t="s">
        <v>37</v>
      </c>
      <c r="F88" s="72">
        <v>-1.593</v>
      </c>
      <c r="G88" s="72">
        <v>-1.2809999999999999</v>
      </c>
      <c r="H88" s="72">
        <v>-1.7549999999999999</v>
      </c>
      <c r="I88" s="72">
        <v>-1.6140000000000001</v>
      </c>
      <c r="J88" s="72">
        <v>-0.54300000000000004</v>
      </c>
      <c r="K88" s="72">
        <v>-2.3079999999999998</v>
      </c>
      <c r="L88" s="72">
        <v>-0.7</v>
      </c>
      <c r="M88" s="72">
        <v>-0.83499999999999996</v>
      </c>
      <c r="N88" s="72">
        <v>-2.0179999999999998</v>
      </c>
      <c r="O88" s="72">
        <v>-1.0549999999999999</v>
      </c>
      <c r="P88" s="72">
        <v>-0.90300000000000002</v>
      </c>
      <c r="Q88" s="72">
        <f>-Q52*$F$14</f>
        <v>-1.3773240000000002</v>
      </c>
      <c r="R88" s="72">
        <f>-R52*$F$14</f>
        <v>-1.4875099200000004</v>
      </c>
      <c r="S88" s="72">
        <f>-S52*$F$14</f>
        <v>-1.6065107136000003</v>
      </c>
      <c r="T88" s="72">
        <f>-T52*$F$14</f>
        <v>-1.7350315706880004</v>
      </c>
      <c r="U88" s="72">
        <f>-U52*$F$14</f>
        <v>-1.8738340963430407</v>
      </c>
    </row>
    <row r="89" spans="2:31" s="83" customFormat="1">
      <c r="B89" s="69"/>
      <c r="C89" s="69"/>
      <c r="D89" s="69"/>
      <c r="E89" s="69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</row>
    <row r="90" spans="2:31" s="83" customFormat="1">
      <c r="B90" s="69"/>
      <c r="C90" s="69"/>
      <c r="D90" s="69"/>
      <c r="E90" s="69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</row>
    <row r="91" spans="2:31" s="83" customFormat="1">
      <c r="B91" s="69"/>
      <c r="C91" s="69"/>
      <c r="D91" s="69"/>
      <c r="E91" s="69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</row>
    <row r="92" spans="2:31" s="83" customFormat="1">
      <c r="B92" s="69"/>
      <c r="C92" s="69"/>
      <c r="D92" s="69"/>
      <c r="E92" s="69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</row>
    <row r="93" spans="2:31" s="41" customFormat="1" ht="15" customHeight="1">
      <c r="B93" s="38" t="s">
        <v>80</v>
      </c>
      <c r="C93" s="39"/>
      <c r="D93" s="39"/>
      <c r="E93" s="39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X93" s="227" t="s">
        <v>81</v>
      </c>
      <c r="Y93" s="227"/>
      <c r="Z93" s="227"/>
      <c r="AA93" s="227"/>
      <c r="AB93" s="227"/>
      <c r="AC93" s="227"/>
      <c r="AD93" s="227"/>
    </row>
    <row r="94" spans="2:31">
      <c r="X94" s="85"/>
      <c r="Y94" s="85"/>
      <c r="Z94" s="85"/>
      <c r="AA94" s="85"/>
      <c r="AB94" s="85"/>
      <c r="AC94" s="85"/>
      <c r="AD94" s="85"/>
    </row>
    <row r="95" spans="2:31">
      <c r="X95" s="85"/>
      <c r="Y95" s="85"/>
      <c r="Z95" s="85"/>
      <c r="AA95" s="85"/>
      <c r="AB95" s="85"/>
      <c r="AC95" s="85"/>
      <c r="AD95" s="85"/>
      <c r="AE95" s="85"/>
    </row>
    <row r="96" spans="2:31" ht="15.95" thickBot="1">
      <c r="X96" s="85"/>
      <c r="Y96" s="85"/>
      <c r="Z96" s="85"/>
      <c r="AA96" s="85"/>
      <c r="AB96" s="85"/>
      <c r="AC96" s="85"/>
      <c r="AD96" s="85"/>
      <c r="AE96" s="85"/>
    </row>
    <row r="97" spans="2:31" s="83" customFormat="1" ht="14.45" hidden="1" customHeight="1">
      <c r="B97" s="86"/>
      <c r="C97" s="86"/>
      <c r="D97" s="86"/>
      <c r="E97" s="87"/>
      <c r="F97" s="88">
        <v>1</v>
      </c>
      <c r="G97" s="88">
        <v>2</v>
      </c>
      <c r="H97" s="88">
        <v>3</v>
      </c>
      <c r="I97" s="88">
        <v>4</v>
      </c>
      <c r="J97" s="88">
        <v>5</v>
      </c>
      <c r="K97" s="89"/>
      <c r="L97" s="89"/>
      <c r="M97" s="89"/>
      <c r="N97" s="89"/>
      <c r="O97" s="89"/>
      <c r="X97" s="85"/>
      <c r="Y97" s="85"/>
      <c r="Z97" s="85"/>
      <c r="AA97" s="85"/>
      <c r="AB97" s="85"/>
      <c r="AC97" s="85"/>
      <c r="AD97" s="85"/>
      <c r="AE97" s="85"/>
    </row>
    <row r="98" spans="2:31" ht="14.45" hidden="1" customHeight="1" thickBot="1">
      <c r="E98" s="55"/>
      <c r="F98" s="1">
        <v>2026</v>
      </c>
      <c r="G98" s="1">
        <v>2027</v>
      </c>
      <c r="H98" s="1">
        <v>2028</v>
      </c>
      <c r="I98" s="1">
        <v>2029</v>
      </c>
      <c r="J98" s="1">
        <v>2030</v>
      </c>
      <c r="X98" s="85"/>
      <c r="Y98" s="85"/>
      <c r="Z98" s="85"/>
      <c r="AA98" s="85"/>
      <c r="AB98" s="85"/>
      <c r="AC98" s="85"/>
      <c r="AD98" s="85"/>
      <c r="AE98" s="90" t="s">
        <v>82</v>
      </c>
    </row>
    <row r="99" spans="2:31" ht="14.45" hidden="1" customHeight="1" thickBot="1">
      <c r="E99" s="55"/>
      <c r="F99" s="91" t="s">
        <v>48</v>
      </c>
      <c r="G99" s="91" t="s">
        <v>48</v>
      </c>
      <c r="H99" s="91" t="s">
        <v>48</v>
      </c>
      <c r="I99" s="91" t="s">
        <v>48</v>
      </c>
      <c r="J99" s="91" t="s">
        <v>48</v>
      </c>
      <c r="X99" s="85"/>
      <c r="Y99" s="85"/>
      <c r="Z99" s="85"/>
      <c r="AA99" s="85"/>
      <c r="AB99" s="85"/>
      <c r="AC99" s="85"/>
      <c r="AD99" s="85"/>
      <c r="AE99" s="85"/>
    </row>
    <row r="100" spans="2:31" s="83" customFormat="1" ht="15.95" customHeight="1" thickBot="1">
      <c r="B100" s="92" t="s">
        <v>83</v>
      </c>
      <c r="C100" s="92"/>
      <c r="D100" s="92"/>
      <c r="E100" s="93" t="s">
        <v>13</v>
      </c>
      <c r="F100" s="94" t="str">
        <f>F98&amp;F99</f>
        <v>2026E</v>
      </c>
      <c r="G100" s="94" t="str">
        <f t="shared" ref="G100:J100" si="15">G98&amp;G99</f>
        <v>2027E</v>
      </c>
      <c r="H100" s="94" t="str">
        <f t="shared" si="15"/>
        <v>2028E</v>
      </c>
      <c r="I100" s="94" t="str">
        <f t="shared" si="15"/>
        <v>2029E</v>
      </c>
      <c r="J100" s="94" t="str">
        <f t="shared" si="15"/>
        <v>2030E</v>
      </c>
      <c r="X100" s="11" t="s">
        <v>82</v>
      </c>
      <c r="Y100" s="12" t="s">
        <v>82</v>
      </c>
      <c r="Z100" s="228" t="s">
        <v>11</v>
      </c>
      <c r="AA100" s="229"/>
      <c r="AB100" s="229"/>
      <c r="AC100" s="229"/>
      <c r="AD100" s="230"/>
    </row>
    <row r="101" spans="2:31" s="83" customFormat="1" ht="15.95" thickBot="1">
      <c r="B101" s="45" t="s">
        <v>84</v>
      </c>
      <c r="C101" s="45"/>
      <c r="D101" s="45"/>
      <c r="E101" s="95" t="s">
        <v>37</v>
      </c>
      <c r="F101" s="72">
        <f>Q63</f>
        <v>312.99760000000003</v>
      </c>
      <c r="G101" s="72">
        <f>R63</f>
        <v>338.62808800000005</v>
      </c>
      <c r="H101" s="72">
        <f>S63</f>
        <v>366.3137886400001</v>
      </c>
      <c r="I101" s="72">
        <f>T63</f>
        <v>396.21921440320011</v>
      </c>
      <c r="J101" s="72">
        <f>U63</f>
        <v>428.52204068089611</v>
      </c>
      <c r="K101" s="96"/>
      <c r="L101" s="97"/>
      <c r="M101" s="97"/>
      <c r="N101" s="97"/>
      <c r="O101" s="97"/>
      <c r="X101" s="13" t="s">
        <v>85</v>
      </c>
      <c r="Y101" s="19">
        <f>F114/100</f>
        <v>5.6735375002065656</v>
      </c>
      <c r="Z101" s="29">
        <v>8.0625000000000002E-2</v>
      </c>
      <c r="AA101" s="30">
        <v>8.5625000000000007E-2</v>
      </c>
      <c r="AB101" s="30">
        <v>9.0624999999999997E-2</v>
      </c>
      <c r="AC101" s="30">
        <v>9.5625000000000002E-2</v>
      </c>
      <c r="AD101" s="31">
        <v>0.10062500000000001</v>
      </c>
    </row>
    <row r="102" spans="2:31" s="83" customFormat="1">
      <c r="B102" s="45" t="s">
        <v>26</v>
      </c>
      <c r="C102" s="45"/>
      <c r="D102" s="45"/>
      <c r="E102" s="98" t="s">
        <v>17</v>
      </c>
      <c r="F102" s="72">
        <f>$F$13</f>
        <v>0.25</v>
      </c>
      <c r="G102" s="72">
        <f t="shared" ref="G102:J102" si="16">$F$13</f>
        <v>0.25</v>
      </c>
      <c r="H102" s="72">
        <f t="shared" si="16"/>
        <v>0.25</v>
      </c>
      <c r="I102" s="72">
        <f t="shared" si="16"/>
        <v>0.25</v>
      </c>
      <c r="J102" s="72">
        <f t="shared" si="16"/>
        <v>0.25</v>
      </c>
      <c r="K102" s="99"/>
      <c r="L102" s="97"/>
      <c r="M102" s="97"/>
      <c r="N102" s="97"/>
      <c r="O102" s="97"/>
      <c r="X102" s="224" t="s">
        <v>86</v>
      </c>
      <c r="Y102" s="17" t="s">
        <v>87</v>
      </c>
      <c r="Z102" s="32" t="e">
        <f t="dataTable" ref="Z102:AD106" dt2D="1" dtr="1" r1="F17" r2="F18"/>
        <v>#VALUE!</v>
      </c>
      <c r="AA102" s="32" t="e">
        <v>#VALUE!</v>
      </c>
      <c r="AB102" s="32" t="e">
        <v>#VALUE!</v>
      </c>
      <c r="AC102" s="32" t="e">
        <v>#VALUE!</v>
      </c>
      <c r="AD102" s="33" t="e">
        <v>#VALUE!</v>
      </c>
    </row>
    <row r="103" spans="2:31" s="83" customFormat="1">
      <c r="B103" s="45" t="s">
        <v>88</v>
      </c>
      <c r="C103" s="45"/>
      <c r="D103" s="45"/>
      <c r="E103" s="98" t="s">
        <v>37</v>
      </c>
      <c r="F103" s="72">
        <f>Q59</f>
        <v>3.9779999999999998</v>
      </c>
      <c r="G103" s="72">
        <f>R59</f>
        <v>4.0575599999999996</v>
      </c>
      <c r="H103" s="72">
        <f>S59</f>
        <v>4.1387111999999995</v>
      </c>
      <c r="I103" s="72">
        <f>T59</f>
        <v>4.2214854239999999</v>
      </c>
      <c r="J103" s="72">
        <f>U59</f>
        <v>4.30591513248</v>
      </c>
      <c r="K103" s="100"/>
      <c r="L103" s="97"/>
      <c r="M103" s="97"/>
      <c r="N103" s="97"/>
      <c r="O103" s="97"/>
      <c r="X103" s="225"/>
      <c r="Y103" s="17" t="s">
        <v>89</v>
      </c>
      <c r="Z103" s="32" t="e">
        <v>#VALUE!</v>
      </c>
      <c r="AA103" s="34" t="e">
        <v>#VALUE!</v>
      </c>
      <c r="AB103" s="34" t="e">
        <v>#VALUE!</v>
      </c>
      <c r="AC103" s="34" t="e">
        <v>#VALUE!</v>
      </c>
      <c r="AD103" s="33" t="e">
        <v>#VALUE!</v>
      </c>
    </row>
    <row r="104" spans="2:31" s="83" customFormat="1">
      <c r="B104" s="45" t="s">
        <v>27</v>
      </c>
      <c r="C104" s="45"/>
      <c r="D104" s="45"/>
      <c r="E104" s="98" t="s">
        <v>37</v>
      </c>
      <c r="F104" s="72">
        <f>Q88</f>
        <v>-1.3773240000000002</v>
      </c>
      <c r="G104" s="72">
        <f>R88</f>
        <v>-1.4875099200000004</v>
      </c>
      <c r="H104" s="72">
        <f>S88</f>
        <v>-1.6065107136000003</v>
      </c>
      <c r="I104" s="72">
        <f>T88</f>
        <v>-1.7350315706880004</v>
      </c>
      <c r="J104" s="72">
        <f>U88</f>
        <v>-1.8738340963430407</v>
      </c>
      <c r="K104" s="99"/>
      <c r="L104" s="97"/>
      <c r="M104" s="97"/>
      <c r="N104" s="97"/>
      <c r="O104" s="97"/>
      <c r="X104" s="225"/>
      <c r="Y104" s="17" t="s">
        <v>90</v>
      </c>
      <c r="Z104" s="32" t="e">
        <v>#VALUE!</v>
      </c>
      <c r="AA104" s="34" t="e">
        <v>#VALUE!</v>
      </c>
      <c r="AB104" s="35" t="e">
        <v>#VALUE!</v>
      </c>
      <c r="AC104" s="34" t="e">
        <v>#VALUE!</v>
      </c>
      <c r="AD104" s="33" t="e">
        <v>#VALUE!</v>
      </c>
    </row>
    <row r="105" spans="2:31" s="83" customFormat="1">
      <c r="B105" s="45" t="s">
        <v>29</v>
      </c>
      <c r="C105" s="45"/>
      <c r="D105" s="45"/>
      <c r="E105" s="98" t="s">
        <v>37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100"/>
      <c r="L105" s="97"/>
      <c r="M105" s="97"/>
      <c r="N105" s="97"/>
      <c r="O105" s="97"/>
      <c r="X105" s="225"/>
      <c r="Y105" s="17" t="s">
        <v>91</v>
      </c>
      <c r="Z105" s="32" t="e">
        <v>#VALUE!</v>
      </c>
      <c r="AA105" s="34" t="e">
        <v>#VALUE!</v>
      </c>
      <c r="AB105" s="34" t="e">
        <v>#VALUE!</v>
      </c>
      <c r="AC105" s="34" t="e">
        <v>#VALUE!</v>
      </c>
      <c r="AD105" s="33" t="e">
        <v>#VALUE!</v>
      </c>
    </row>
    <row r="106" spans="2:31" s="83" customFormat="1">
      <c r="B106" s="101" t="s">
        <v>92</v>
      </c>
      <c r="C106" s="101"/>
      <c r="D106" s="101"/>
      <c r="E106" s="102" t="s">
        <v>37</v>
      </c>
      <c r="F106" s="103">
        <f>(F101*(1-F102))+F103+F104-F105</f>
        <v>237.34887600000005</v>
      </c>
      <c r="G106" s="103">
        <f t="shared" ref="G106:J106" si="17">(G101*(1-G102))+G103+G104-G105</f>
        <v>256.54111608000005</v>
      </c>
      <c r="H106" s="103">
        <f t="shared" si="17"/>
        <v>277.26754196640007</v>
      </c>
      <c r="I106" s="103">
        <f t="shared" si="17"/>
        <v>299.65086465571204</v>
      </c>
      <c r="J106" s="103">
        <f t="shared" si="17"/>
        <v>323.82361154680899</v>
      </c>
      <c r="K106" s="104"/>
      <c r="L106" s="105"/>
      <c r="M106" s="105"/>
      <c r="N106" s="97"/>
      <c r="O106" s="97"/>
      <c r="X106" s="226"/>
      <c r="Y106" s="18" t="s">
        <v>93</v>
      </c>
      <c r="Z106" s="36" t="e">
        <v>#VALUE!</v>
      </c>
      <c r="AA106" s="36" t="e">
        <v>#VALUE!</v>
      </c>
      <c r="AB106" s="36" t="e">
        <v>#VALUE!</v>
      </c>
      <c r="AC106" s="36" t="e">
        <v>#VALUE!</v>
      </c>
      <c r="AD106" s="37" t="e">
        <v>#VALUE!</v>
      </c>
    </row>
    <row r="107" spans="2:31" s="83" customFormat="1">
      <c r="B107" s="45" t="s">
        <v>94</v>
      </c>
      <c r="C107" s="45"/>
      <c r="D107" s="45"/>
      <c r="E107" s="98"/>
      <c r="F107" s="72">
        <f>F106/(1+$F$17)^F97</f>
        <v>217.62647656160465</v>
      </c>
      <c r="G107" s="72">
        <f>G106/(1+$F$17)^G97</f>
        <v>215.67811665414902</v>
      </c>
      <c r="H107" s="72">
        <f>H106/(1+$F$17)^H97</f>
        <v>213.73354369623385</v>
      </c>
      <c r="I107" s="72">
        <f>I106/(1+$F$17)^I97</f>
        <v>211.79404292290715</v>
      </c>
      <c r="J107" s="72">
        <f>J106/(1+$F$17)^J97</f>
        <v>209.86077332899077</v>
      </c>
      <c r="K107" s="99"/>
      <c r="L107" s="105"/>
      <c r="M107" s="105"/>
      <c r="N107" s="97"/>
      <c r="O107" s="97"/>
      <c r="X107" s="10"/>
      <c r="Y107" s="10"/>
      <c r="Z107" s="10"/>
      <c r="AA107" s="10"/>
      <c r="AB107" s="10"/>
      <c r="AC107" s="10"/>
      <c r="AD107" s="10"/>
    </row>
    <row r="108" spans="2:31" s="83" customFormat="1">
      <c r="B108" s="45"/>
      <c r="C108" s="45"/>
      <c r="D108" s="45"/>
      <c r="E108" s="106"/>
      <c r="F108" s="107"/>
      <c r="G108" s="107"/>
      <c r="H108" s="107"/>
      <c r="I108" s="107"/>
      <c r="J108" s="107"/>
      <c r="K108" s="99"/>
      <c r="L108" s="105"/>
      <c r="M108" s="105"/>
      <c r="N108" s="97"/>
      <c r="O108" s="97"/>
      <c r="X108" s="231" t="s">
        <v>95</v>
      </c>
      <c r="Y108" s="231"/>
      <c r="Z108" s="231"/>
      <c r="AA108" s="231"/>
      <c r="AB108" s="231"/>
      <c r="AC108" s="231"/>
      <c r="AD108" s="231"/>
    </row>
    <row r="109" spans="2:31" s="83" customFormat="1" ht="15.95" customHeight="1" thickBot="1">
      <c r="B109" s="108" t="s">
        <v>96</v>
      </c>
      <c r="C109" s="108"/>
      <c r="D109" s="108"/>
      <c r="E109" s="109" t="s">
        <v>37</v>
      </c>
      <c r="F109" s="110">
        <f>SUM(F107:J107)+F117</f>
        <v>4346.5183651595516</v>
      </c>
      <c r="G109" s="107"/>
      <c r="H109" s="107"/>
      <c r="K109" s="99"/>
      <c r="L109" s="105"/>
      <c r="M109" s="105"/>
      <c r="N109" s="97"/>
      <c r="O109" s="97"/>
      <c r="X109" s="10"/>
      <c r="Y109" s="10"/>
      <c r="Z109" s="10"/>
      <c r="AA109" s="10"/>
      <c r="AB109" s="10"/>
      <c r="AC109" s="10"/>
      <c r="AD109" s="10"/>
    </row>
    <row r="110" spans="2:31" s="83" customFormat="1">
      <c r="B110" s="45" t="s">
        <v>36</v>
      </c>
      <c r="C110" s="45"/>
      <c r="D110" s="45"/>
      <c r="E110" s="98" t="s">
        <v>37</v>
      </c>
      <c r="F110" s="111">
        <f>F20</f>
        <v>42.905999999999999</v>
      </c>
      <c r="G110" s="112"/>
      <c r="H110" s="107"/>
      <c r="K110" s="48"/>
      <c r="L110" s="48"/>
      <c r="M110" s="48"/>
      <c r="N110" s="48"/>
      <c r="O110" s="48"/>
      <c r="P110" s="45"/>
      <c r="Q110" s="45"/>
      <c r="R110" s="45"/>
      <c r="S110" s="45"/>
      <c r="T110" s="45"/>
      <c r="U110" s="45"/>
      <c r="X110" s="11" t="s">
        <v>82</v>
      </c>
      <c r="Y110" s="12" t="s">
        <v>82</v>
      </c>
      <c r="Z110" s="228" t="s">
        <v>97</v>
      </c>
      <c r="AA110" s="229"/>
      <c r="AB110" s="229"/>
      <c r="AC110" s="229"/>
      <c r="AD110" s="230"/>
    </row>
    <row r="111" spans="2:31" s="83" customFormat="1">
      <c r="B111" s="83" t="s">
        <v>40</v>
      </c>
      <c r="E111" s="113" t="s">
        <v>37</v>
      </c>
      <c r="F111" s="111">
        <f>F21</f>
        <v>-7.1840000000000002</v>
      </c>
      <c r="G111" s="107"/>
      <c r="H111" s="107"/>
      <c r="K111" s="89"/>
      <c r="L111" s="89"/>
      <c r="M111" s="89"/>
      <c r="N111" s="89"/>
      <c r="O111" s="89"/>
      <c r="X111" s="13" t="s">
        <v>85</v>
      </c>
      <c r="Y111" s="19">
        <f>F114/100</f>
        <v>5.6735375002065656</v>
      </c>
      <c r="Z111" s="14" t="s">
        <v>98</v>
      </c>
      <c r="AA111" s="15" t="s">
        <v>99</v>
      </c>
      <c r="AB111" s="15" t="s">
        <v>100</v>
      </c>
      <c r="AC111" s="15" t="s">
        <v>101</v>
      </c>
      <c r="AD111" s="16" t="s">
        <v>102</v>
      </c>
    </row>
    <row r="112" spans="2:31" s="83" customFormat="1" ht="15.95" customHeight="1">
      <c r="B112" s="108" t="s">
        <v>103</v>
      </c>
      <c r="C112" s="108"/>
      <c r="D112" s="108"/>
      <c r="E112" s="114" t="s">
        <v>37</v>
      </c>
      <c r="F112" s="110">
        <f>SUM(F109:F111)</f>
        <v>4382.2403651595514</v>
      </c>
      <c r="G112" s="115"/>
      <c r="H112" s="115"/>
      <c r="I112" s="116"/>
      <c r="J112" s="116"/>
      <c r="K112" s="97"/>
      <c r="L112" s="220"/>
      <c r="M112" s="220"/>
      <c r="N112" s="220"/>
      <c r="O112" s="220"/>
      <c r="X112" s="224" t="s">
        <v>104</v>
      </c>
      <c r="Y112" s="17" t="s">
        <v>105</v>
      </c>
      <c r="Z112" s="32" t="e">
        <f t="dataTable" ref="Z112:AD116" dt2D="1" dtr="1" r1="F8" r2="F9" ca="1"/>
        <v>#VALUE!</v>
      </c>
      <c r="AA112" s="32" t="e">
        <v>#VALUE!</v>
      </c>
      <c r="AB112" s="32" t="e">
        <v>#VALUE!</v>
      </c>
      <c r="AC112" s="32" t="e">
        <v>#VALUE!</v>
      </c>
      <c r="AD112" s="33" t="e">
        <v>#VALUE!</v>
      </c>
    </row>
    <row r="113" spans="2:31" s="83" customFormat="1" ht="27.75" customHeight="1">
      <c r="B113" s="45" t="s">
        <v>41</v>
      </c>
      <c r="C113" s="45"/>
      <c r="D113" s="45"/>
      <c r="E113" s="117" t="s">
        <v>106</v>
      </c>
      <c r="F113" s="72">
        <f>F22</f>
        <v>772.4</v>
      </c>
      <c r="G113" s="118"/>
      <c r="H113" s="116"/>
      <c r="I113" s="116"/>
      <c r="J113" s="116"/>
      <c r="K113" s="97"/>
      <c r="L113" s="220"/>
      <c r="M113" s="220"/>
      <c r="N113" s="220"/>
      <c r="O113" s="220"/>
      <c r="X113" s="225"/>
      <c r="Y113" s="17" t="s">
        <v>107</v>
      </c>
      <c r="Z113" s="32" t="e">
        <v>#VALUE!</v>
      </c>
      <c r="AA113" s="34" t="e">
        <v>#VALUE!</v>
      </c>
      <c r="AB113" s="34" t="e">
        <v>#VALUE!</v>
      </c>
      <c r="AC113" s="34" t="e">
        <v>#VALUE!</v>
      </c>
      <c r="AD113" s="33" t="e">
        <v>#VALUE!</v>
      </c>
    </row>
    <row r="114" spans="2:31" s="83" customFormat="1" ht="15.95" customHeight="1">
      <c r="B114" s="108" t="s">
        <v>108</v>
      </c>
      <c r="C114" s="108"/>
      <c r="D114" s="108"/>
      <c r="E114" s="114" t="s">
        <v>109</v>
      </c>
      <c r="F114" s="110">
        <f>(F112/F113)*100</f>
        <v>567.35375002065655</v>
      </c>
      <c r="G114" s="119" t="s">
        <v>110</v>
      </c>
      <c r="H114" s="97"/>
      <c r="I114" s="97"/>
      <c r="J114" s="97"/>
      <c r="K114" s="97"/>
      <c r="L114" s="220"/>
      <c r="M114" s="220"/>
      <c r="N114" s="220"/>
      <c r="O114" s="220"/>
      <c r="X114" s="225"/>
      <c r="Y114" s="17" t="s">
        <v>111</v>
      </c>
      <c r="Z114" s="32" t="e">
        <v>#VALUE!</v>
      </c>
      <c r="AA114" s="34" t="e">
        <v>#VALUE!</v>
      </c>
      <c r="AB114" s="35" t="e">
        <v>#VALUE!</v>
      </c>
      <c r="AC114" s="34" t="e">
        <v>#VALUE!</v>
      </c>
      <c r="AD114" s="33" t="e">
        <v>#VALUE!</v>
      </c>
    </row>
    <row r="115" spans="2:31" s="83" customFormat="1" ht="17.100000000000001" customHeight="1">
      <c r="B115" s="89"/>
      <c r="C115" s="89"/>
      <c r="D115" s="89"/>
      <c r="E115" s="120"/>
      <c r="F115" s="100"/>
      <c r="G115" s="97"/>
      <c r="H115" s="97"/>
      <c r="I115" s="97"/>
      <c r="J115" s="97"/>
      <c r="K115" s="97"/>
      <c r="L115" s="220"/>
      <c r="M115" s="220"/>
      <c r="N115" s="220"/>
      <c r="O115" s="220"/>
      <c r="X115" s="225"/>
      <c r="Y115" s="17" t="s">
        <v>112</v>
      </c>
      <c r="Z115" s="32" t="e">
        <v>#VALUE!</v>
      </c>
      <c r="AA115" s="34" t="e">
        <v>#VALUE!</v>
      </c>
      <c r="AB115" s="34" t="e">
        <v>#VALUE!</v>
      </c>
      <c r="AC115" s="34" t="e">
        <v>#VALUE!</v>
      </c>
      <c r="AD115" s="33" t="e">
        <v>#VALUE!</v>
      </c>
    </row>
    <row r="116" spans="2:31" s="83" customFormat="1">
      <c r="B116" s="121" t="s">
        <v>113</v>
      </c>
      <c r="C116" s="122"/>
      <c r="D116" s="123"/>
      <c r="E116" s="124" t="s">
        <v>37</v>
      </c>
      <c r="F116" s="125">
        <f>(J106*(1+$F$18)/(F17-F18))</f>
        <v>5057.8164089215888</v>
      </c>
      <c r="G116" s="105"/>
      <c r="H116" s="105"/>
      <c r="I116" s="105"/>
      <c r="J116" s="97"/>
      <c r="K116" s="97"/>
      <c r="L116" s="220"/>
      <c r="M116" s="220"/>
      <c r="N116" s="220"/>
      <c r="O116" s="220"/>
      <c r="X116" s="226"/>
      <c r="Y116" s="18" t="s">
        <v>114</v>
      </c>
      <c r="Z116" s="36" t="e">
        <v>#VALUE!</v>
      </c>
      <c r="AA116" s="36" t="e">
        <v>#VALUE!</v>
      </c>
      <c r="AB116" s="36" t="e">
        <v>#VALUE!</v>
      </c>
      <c r="AC116" s="36" t="e">
        <v>#VALUE!</v>
      </c>
      <c r="AD116" s="37" t="e">
        <v>#VALUE!</v>
      </c>
    </row>
    <row r="117" spans="2:31" s="83" customFormat="1">
      <c r="B117" s="126" t="s">
        <v>115</v>
      </c>
      <c r="C117" s="127"/>
      <c r="D117" s="128"/>
      <c r="E117" s="129" t="s">
        <v>37</v>
      </c>
      <c r="F117" s="130">
        <f>F116/(1+F17)^5</f>
        <v>3277.8254119956659</v>
      </c>
      <c r="G117" s="105"/>
      <c r="H117" s="105"/>
      <c r="I117" s="97"/>
      <c r="J117" s="97"/>
      <c r="K117" s="97"/>
      <c r="L117" s="220"/>
      <c r="M117" s="220"/>
      <c r="N117" s="220"/>
      <c r="O117" s="220"/>
      <c r="X117" s="85"/>
      <c r="Y117" s="85"/>
      <c r="Z117" s="85"/>
      <c r="AA117" s="85"/>
      <c r="AB117" s="85"/>
      <c r="AC117" s="85"/>
      <c r="AD117" s="85"/>
      <c r="AE117" s="90" t="s">
        <v>82</v>
      </c>
    </row>
    <row r="118" spans="2:31" s="83" customFormat="1">
      <c r="B118" s="131" t="s">
        <v>116</v>
      </c>
      <c r="C118" s="132"/>
      <c r="D118" s="133"/>
      <c r="E118" s="134" t="s">
        <v>17</v>
      </c>
      <c r="F118" s="135">
        <f>F117/F109</f>
        <v>0.75412666797172123</v>
      </c>
      <c r="G118" s="105"/>
      <c r="H118" s="105"/>
      <c r="I118" s="97"/>
      <c r="J118" s="97"/>
      <c r="K118" s="97"/>
      <c r="L118" s="97"/>
      <c r="M118" s="97"/>
      <c r="N118" s="97"/>
      <c r="O118" s="97"/>
      <c r="X118" s="85"/>
      <c r="Y118" s="85"/>
      <c r="Z118" s="85"/>
      <c r="AA118" s="85"/>
      <c r="AB118" s="85"/>
      <c r="AC118" s="85"/>
      <c r="AD118" s="85"/>
      <c r="AE118" s="90" t="s">
        <v>82</v>
      </c>
    </row>
    <row r="119" spans="2:31" s="83" customFormat="1">
      <c r="B119" s="97"/>
      <c r="C119" s="97"/>
      <c r="D119" s="136"/>
      <c r="E119" s="136"/>
      <c r="F119" s="100"/>
      <c r="G119" s="97"/>
      <c r="H119" s="97"/>
      <c r="I119" s="97"/>
      <c r="J119" s="97"/>
      <c r="K119" s="97"/>
      <c r="L119" s="97"/>
      <c r="M119" s="97"/>
      <c r="N119" s="97"/>
      <c r="O119" s="97"/>
      <c r="X119" s="85"/>
      <c r="Y119" s="85"/>
      <c r="Z119" s="85"/>
      <c r="AA119" s="85"/>
      <c r="AB119" s="85"/>
      <c r="AC119" s="85"/>
      <c r="AD119" s="85"/>
      <c r="AE119" s="90" t="s">
        <v>82</v>
      </c>
    </row>
    <row r="120" spans="2:31" s="83" customFormat="1">
      <c r="B120" s="220"/>
      <c r="C120" s="220"/>
      <c r="D120" s="220"/>
      <c r="E120" s="220"/>
      <c r="F120" s="220"/>
      <c r="G120" s="105"/>
      <c r="H120" s="105"/>
      <c r="I120" s="97"/>
      <c r="J120" s="97"/>
      <c r="K120" s="97"/>
      <c r="L120" s="97"/>
      <c r="M120" s="97"/>
      <c r="N120" s="97"/>
      <c r="O120" s="97"/>
    </row>
    <row r="121" spans="2:31" s="83" customFormat="1">
      <c r="B121" s="220"/>
      <c r="C121" s="220"/>
      <c r="D121" s="220"/>
      <c r="E121" s="220"/>
      <c r="F121" s="220"/>
      <c r="G121" s="97"/>
      <c r="H121" s="97"/>
      <c r="I121" s="97"/>
      <c r="J121" s="97"/>
      <c r="K121" s="97"/>
      <c r="L121" s="97"/>
      <c r="M121" s="97"/>
      <c r="N121" s="97"/>
      <c r="O121" s="97"/>
    </row>
    <row r="122" spans="2:31" s="83" customFormat="1">
      <c r="B122" s="220"/>
      <c r="C122" s="220"/>
      <c r="D122" s="220"/>
      <c r="E122" s="220"/>
      <c r="F122" s="220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2:31" s="83" customFormat="1">
      <c r="B123" s="220"/>
      <c r="C123" s="220"/>
      <c r="D123" s="220"/>
      <c r="E123" s="220"/>
      <c r="F123" s="220"/>
      <c r="G123" s="105"/>
      <c r="H123" s="105"/>
      <c r="I123" s="105"/>
      <c r="J123" s="97"/>
      <c r="K123" s="97"/>
      <c r="L123" s="97"/>
      <c r="M123" s="97"/>
      <c r="N123" s="97"/>
      <c r="O123" s="97"/>
    </row>
    <row r="124" spans="2:31" s="83" customFormat="1">
      <c r="B124" s="220"/>
      <c r="C124" s="220"/>
      <c r="D124" s="220"/>
      <c r="E124" s="220"/>
      <c r="F124" s="220"/>
      <c r="G124" s="105"/>
      <c r="H124" s="105"/>
      <c r="I124" s="105"/>
      <c r="J124" s="97"/>
      <c r="K124" s="97"/>
      <c r="L124" s="97"/>
      <c r="M124" s="97"/>
      <c r="N124" s="97"/>
      <c r="O124" s="97"/>
    </row>
    <row r="125" spans="2:31" s="83" customFormat="1">
      <c r="B125" s="220"/>
      <c r="C125" s="220"/>
      <c r="D125" s="220"/>
      <c r="E125" s="220"/>
      <c r="F125" s="220"/>
      <c r="G125" s="105"/>
      <c r="H125" s="105"/>
      <c r="I125" s="97"/>
      <c r="J125" s="97"/>
      <c r="K125" s="97"/>
      <c r="L125" s="97"/>
      <c r="M125" s="97"/>
      <c r="N125" s="97"/>
      <c r="O125" s="97"/>
    </row>
    <row r="126" spans="2:31" s="83" customFormat="1"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</row>
    <row r="127" spans="2:31" s="83" customFormat="1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2:31" s="83" customFormat="1">
      <c r="B128" s="97"/>
      <c r="C128" s="97"/>
      <c r="D128" s="97"/>
      <c r="E128" s="97"/>
      <c r="F128" s="96"/>
      <c r="G128" s="96"/>
      <c r="H128" s="96"/>
      <c r="I128" s="96"/>
      <c r="J128" s="97"/>
      <c r="K128" s="97"/>
      <c r="L128" s="97"/>
      <c r="M128" s="97"/>
      <c r="N128" s="97"/>
      <c r="O128" s="97"/>
    </row>
    <row r="129" spans="2:15" s="83" customFormat="1">
      <c r="B129" s="133"/>
      <c r="C129" s="133"/>
      <c r="D129" s="133"/>
      <c r="E129" s="133"/>
      <c r="F129" s="133"/>
      <c r="G129" s="133"/>
      <c r="H129" s="133"/>
      <c r="I129" s="97"/>
      <c r="J129" s="97"/>
      <c r="K129" s="97"/>
      <c r="L129" s="97"/>
      <c r="M129" s="97"/>
      <c r="N129" s="97"/>
      <c r="O129" s="97"/>
    </row>
    <row r="130" spans="2:15" s="83" customFormat="1">
      <c r="B130" s="133"/>
      <c r="C130" s="133"/>
      <c r="D130" s="133"/>
      <c r="E130" s="133"/>
      <c r="F130" s="133"/>
      <c r="G130" s="133"/>
      <c r="H130" s="133"/>
      <c r="I130" s="97"/>
      <c r="J130" s="97"/>
      <c r="K130" s="97"/>
      <c r="L130" s="97"/>
      <c r="M130" s="97"/>
      <c r="N130" s="97"/>
      <c r="O130" s="97"/>
    </row>
    <row r="131" spans="2:15" s="83" customFormat="1">
      <c r="B131" s="133"/>
      <c r="C131" s="133"/>
      <c r="D131" s="133"/>
      <c r="E131" s="133"/>
      <c r="F131" s="133"/>
      <c r="G131" s="133"/>
      <c r="H131" s="133"/>
      <c r="I131" s="97"/>
      <c r="J131" s="97"/>
      <c r="K131" s="97"/>
      <c r="L131" s="97"/>
      <c r="M131" s="97"/>
      <c r="N131" s="97"/>
      <c r="O131" s="97"/>
    </row>
    <row r="132" spans="2:15" s="83" customFormat="1">
      <c r="B132" s="133"/>
      <c r="C132" s="133"/>
      <c r="D132" s="133"/>
      <c r="E132" s="133"/>
      <c r="F132" s="133"/>
      <c r="G132" s="133"/>
      <c r="H132" s="133"/>
      <c r="I132" s="97"/>
      <c r="J132" s="97"/>
      <c r="K132" s="97"/>
      <c r="L132" s="97"/>
      <c r="M132" s="97"/>
      <c r="N132" s="97"/>
      <c r="O132" s="97"/>
    </row>
    <row r="133" spans="2:15" s="83" customFormat="1">
      <c r="B133" s="133"/>
      <c r="C133" s="133"/>
      <c r="D133" s="133"/>
      <c r="E133" s="133"/>
      <c r="F133" s="133"/>
      <c r="G133" s="133"/>
      <c r="H133" s="133"/>
      <c r="I133" s="97"/>
      <c r="J133" s="97"/>
      <c r="K133" s="97"/>
      <c r="L133" s="97"/>
      <c r="M133" s="97"/>
      <c r="N133" s="97"/>
      <c r="O133" s="97"/>
    </row>
    <row r="134" spans="2:15" s="83" customFormat="1">
      <c r="B134" s="133"/>
      <c r="C134" s="133"/>
      <c r="D134" s="133"/>
      <c r="E134" s="133"/>
      <c r="F134" s="133"/>
      <c r="G134" s="133"/>
      <c r="H134" s="133"/>
      <c r="I134" s="97"/>
      <c r="J134" s="97"/>
      <c r="K134" s="97"/>
      <c r="L134" s="97"/>
      <c r="M134" s="97"/>
      <c r="N134" s="97"/>
      <c r="O134" s="97"/>
    </row>
    <row r="135" spans="2:15" s="83" customFormat="1"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</row>
    <row r="136" spans="2:15" s="83" customFormat="1">
      <c r="B136" s="89"/>
      <c r="C136" s="89"/>
      <c r="D136" s="89"/>
      <c r="E136" s="89"/>
      <c r="F136" s="97"/>
      <c r="G136" s="97"/>
      <c r="H136" s="137"/>
      <c r="I136" s="97"/>
      <c r="J136" s="97"/>
      <c r="K136" s="97"/>
      <c r="L136" s="97"/>
      <c r="M136" s="97"/>
      <c r="N136" s="97"/>
      <c r="O136" s="97"/>
    </row>
    <row r="137" spans="2:15" s="83" customFormat="1">
      <c r="B137" s="89"/>
      <c r="C137" s="89"/>
      <c r="D137" s="89"/>
      <c r="E137" s="89"/>
      <c r="F137" s="97"/>
      <c r="G137" s="97"/>
      <c r="H137" s="137"/>
      <c r="I137" s="97"/>
      <c r="J137" s="97"/>
      <c r="K137" s="97"/>
      <c r="L137" s="97"/>
      <c r="M137" s="97"/>
      <c r="N137" s="97"/>
      <c r="O137" s="97"/>
    </row>
    <row r="138" spans="2:15" s="83" customFormat="1">
      <c r="B138" s="89"/>
      <c r="C138" s="89"/>
      <c r="D138" s="89"/>
      <c r="E138" s="89"/>
      <c r="F138" s="97"/>
      <c r="G138" s="97"/>
      <c r="H138" s="137"/>
      <c r="I138" s="97"/>
      <c r="J138" s="97"/>
      <c r="K138" s="97"/>
      <c r="L138" s="97"/>
      <c r="M138" s="97"/>
      <c r="N138" s="97"/>
      <c r="O138" s="97"/>
    </row>
    <row r="139" spans="2:15" s="83" customFormat="1">
      <c r="B139" s="133"/>
      <c r="C139" s="133"/>
      <c r="D139" s="133"/>
      <c r="E139" s="133"/>
      <c r="F139" s="97"/>
      <c r="G139" s="97"/>
      <c r="H139" s="133"/>
      <c r="I139" s="105"/>
      <c r="J139" s="105"/>
      <c r="K139" s="105"/>
      <c r="L139" s="97"/>
      <c r="M139" s="97"/>
      <c r="N139" s="97"/>
      <c r="O139" s="97"/>
    </row>
    <row r="140" spans="2:15" s="83" customFormat="1"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</row>
    <row r="141" spans="2:15" s="83" customFormat="1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</row>
    <row r="142" spans="2:15" s="83" customFormat="1">
      <c r="B142" s="89"/>
      <c r="C142" s="89"/>
      <c r="D142" s="89"/>
      <c r="E142" s="89"/>
      <c r="F142" s="104"/>
      <c r="G142" s="105"/>
      <c r="H142" s="97"/>
      <c r="I142" s="97"/>
      <c r="J142" s="97"/>
      <c r="K142" s="97"/>
      <c r="L142" s="97"/>
      <c r="M142" s="97"/>
      <c r="N142" s="97"/>
      <c r="O142" s="97"/>
    </row>
    <row r="143" spans="2:15" s="83" customFormat="1">
      <c r="B143" s="133"/>
      <c r="C143" s="133"/>
      <c r="D143" s="133"/>
      <c r="E143" s="133"/>
      <c r="F143" s="99"/>
      <c r="G143" s="105"/>
      <c r="H143" s="105"/>
      <c r="I143" s="97"/>
      <c r="J143" s="97"/>
      <c r="K143" s="97"/>
      <c r="L143" s="97"/>
      <c r="M143" s="97"/>
      <c r="N143" s="97"/>
      <c r="O143" s="97"/>
    </row>
    <row r="144" spans="2:15" s="83" customFormat="1">
      <c r="B144" s="133"/>
      <c r="C144" s="133"/>
      <c r="D144" s="133"/>
      <c r="E144" s="133"/>
      <c r="F144" s="99"/>
      <c r="G144" s="105"/>
      <c r="H144" s="105"/>
      <c r="I144" s="97"/>
      <c r="J144" s="97"/>
      <c r="K144" s="97"/>
      <c r="L144" s="97"/>
      <c r="M144" s="97"/>
      <c r="N144" s="97"/>
      <c r="O144" s="97"/>
    </row>
    <row r="145" spans="1:15" s="83" customFormat="1">
      <c r="B145" s="133"/>
      <c r="C145" s="133"/>
      <c r="D145" s="133"/>
      <c r="E145" s="133"/>
      <c r="F145" s="99"/>
      <c r="G145" s="105"/>
      <c r="H145" s="105"/>
      <c r="I145" s="97"/>
      <c r="J145" s="97"/>
      <c r="K145" s="97"/>
      <c r="L145" s="97"/>
      <c r="M145" s="97"/>
      <c r="N145" s="97"/>
      <c r="O145" s="97"/>
    </row>
    <row r="146" spans="1:15" s="83" customFormat="1">
      <c r="B146" s="89"/>
      <c r="C146" s="89"/>
      <c r="D146" s="89"/>
      <c r="E146" s="89"/>
      <c r="F146" s="104"/>
      <c r="G146" s="105"/>
      <c r="H146" s="105"/>
      <c r="I146" s="97"/>
      <c r="J146" s="97"/>
      <c r="K146" s="97"/>
      <c r="L146" s="97"/>
      <c r="M146" s="97"/>
      <c r="N146" s="97"/>
      <c r="O146" s="97"/>
    </row>
    <row r="147" spans="1:15" s="83" customFormat="1">
      <c r="B147" s="133"/>
      <c r="C147" s="133"/>
      <c r="D147" s="133"/>
      <c r="E147" s="133"/>
      <c r="F147" s="99"/>
      <c r="G147" s="105"/>
      <c r="H147" s="105"/>
      <c r="I147" s="105"/>
      <c r="J147" s="97"/>
      <c r="K147" s="97"/>
      <c r="L147" s="97"/>
      <c r="M147" s="97"/>
      <c r="N147" s="97"/>
      <c r="O147" s="97"/>
    </row>
    <row r="148" spans="1:15" s="83" customFormat="1" ht="15.95">
      <c r="B148" s="89"/>
      <c r="C148" s="89"/>
      <c r="D148" s="89"/>
      <c r="E148" s="89"/>
      <c r="F148" s="138"/>
      <c r="G148" s="105"/>
      <c r="H148" s="105"/>
      <c r="I148" s="105"/>
      <c r="J148" s="97"/>
      <c r="K148" s="97"/>
      <c r="L148" s="97"/>
      <c r="M148" s="97"/>
      <c r="N148" s="97"/>
      <c r="O148" s="97"/>
    </row>
    <row r="149" spans="1:15" s="83" customFormat="1">
      <c r="B149" s="133"/>
      <c r="C149" s="133"/>
      <c r="D149" s="133"/>
      <c r="E149" s="133"/>
      <c r="F149" s="99"/>
      <c r="G149" s="105"/>
      <c r="H149" s="105"/>
      <c r="I149" s="105"/>
      <c r="J149" s="97"/>
      <c r="K149" s="97"/>
      <c r="L149" s="97"/>
      <c r="M149" s="97"/>
      <c r="N149" s="97"/>
      <c r="O149" s="97"/>
    </row>
    <row r="150" spans="1:15" s="83" customFormat="1">
      <c r="A150" s="45"/>
      <c r="B150" s="139"/>
      <c r="C150" s="139"/>
      <c r="D150" s="139"/>
      <c r="E150" s="139"/>
      <c r="F150" s="140"/>
      <c r="G150" s="52"/>
      <c r="H150" s="52"/>
      <c r="I150" s="48"/>
      <c r="J150" s="48"/>
      <c r="K150" s="48"/>
      <c r="L150" s="48"/>
      <c r="M150" s="48"/>
      <c r="N150" s="48"/>
      <c r="O150" s="48"/>
    </row>
    <row r="151" spans="1:15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1:15"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</row>
    <row r="153" spans="1:15">
      <c r="B153" s="54"/>
      <c r="C153" s="54"/>
      <c r="D153" s="54"/>
      <c r="E153" s="54"/>
      <c r="F153" s="54"/>
      <c r="G153" s="54"/>
      <c r="H153" s="141"/>
      <c r="I153" s="141"/>
      <c r="J153" s="141"/>
      <c r="K153" s="141"/>
      <c r="L153" s="48"/>
      <c r="M153" s="48"/>
      <c r="N153" s="48"/>
      <c r="O153" s="48"/>
    </row>
    <row r="154" spans="1:15">
      <c r="B154" s="142"/>
      <c r="C154" s="142"/>
      <c r="D154" s="142"/>
      <c r="E154" s="142"/>
      <c r="F154" s="141"/>
      <c r="G154" s="143"/>
      <c r="H154" s="143"/>
      <c r="I154" s="143"/>
      <c r="J154" s="143"/>
      <c r="K154" s="143"/>
      <c r="L154" s="48"/>
      <c r="M154" s="48"/>
      <c r="N154" s="48"/>
      <c r="O154" s="48"/>
    </row>
    <row r="155" spans="1:15">
      <c r="B155" s="144"/>
      <c r="C155" s="144"/>
      <c r="D155" s="144"/>
      <c r="E155" s="144"/>
      <c r="F155" s="141"/>
      <c r="G155" s="140"/>
      <c r="H155" s="140"/>
      <c r="I155" s="140"/>
      <c r="J155" s="140"/>
      <c r="K155" s="140"/>
      <c r="L155" s="48"/>
      <c r="M155" s="48"/>
      <c r="N155" s="48"/>
      <c r="O155" s="48"/>
    </row>
    <row r="156" spans="1:15">
      <c r="B156" s="144"/>
      <c r="C156" s="144"/>
      <c r="D156" s="144"/>
      <c r="E156" s="144"/>
      <c r="F156" s="141"/>
      <c r="G156" s="140"/>
      <c r="H156" s="140"/>
      <c r="I156" s="140"/>
      <c r="J156" s="140"/>
      <c r="K156" s="140"/>
      <c r="L156" s="48"/>
      <c r="M156" s="48"/>
      <c r="N156" s="48"/>
      <c r="O156" s="48"/>
    </row>
    <row r="157" spans="1:15">
      <c r="B157" s="144"/>
      <c r="C157" s="144"/>
      <c r="D157" s="144"/>
      <c r="E157" s="144"/>
      <c r="F157" s="141"/>
      <c r="G157" s="140"/>
      <c r="H157" s="140"/>
      <c r="I157" s="140"/>
      <c r="J157" s="140"/>
      <c r="K157" s="140"/>
      <c r="L157" s="48"/>
      <c r="M157" s="48"/>
      <c r="N157" s="48"/>
      <c r="O157" s="48"/>
    </row>
    <row r="158" spans="1:15">
      <c r="B158" s="143"/>
      <c r="C158" s="143"/>
      <c r="D158" s="143"/>
      <c r="E158" s="143"/>
      <c r="F158" s="141"/>
      <c r="G158" s="140"/>
      <c r="H158" s="140"/>
      <c r="I158" s="145"/>
      <c r="J158" s="140"/>
      <c r="K158" s="140"/>
      <c r="L158" s="48"/>
      <c r="M158" s="48"/>
      <c r="N158" s="48"/>
      <c r="O158" s="48"/>
    </row>
    <row r="159" spans="1:15">
      <c r="B159" s="144"/>
      <c r="C159" s="144"/>
      <c r="D159" s="144"/>
      <c r="E159" s="144"/>
      <c r="F159" s="141"/>
      <c r="G159" s="140"/>
      <c r="H159" s="140"/>
      <c r="I159" s="140"/>
      <c r="J159" s="140"/>
      <c r="K159" s="140"/>
      <c r="L159" s="48"/>
      <c r="M159" s="48"/>
      <c r="N159" s="48"/>
      <c r="O159" s="48"/>
    </row>
    <row r="160" spans="1:15">
      <c r="B160" s="144"/>
      <c r="C160" s="144"/>
      <c r="D160" s="144"/>
      <c r="E160" s="144"/>
      <c r="F160" s="141"/>
      <c r="G160" s="140"/>
      <c r="H160" s="140"/>
      <c r="I160" s="140"/>
      <c r="J160" s="140"/>
      <c r="K160" s="140"/>
      <c r="L160" s="48"/>
      <c r="M160" s="48"/>
      <c r="N160" s="48"/>
      <c r="O160" s="48"/>
    </row>
    <row r="161" spans="2:15">
      <c r="B161" s="144"/>
      <c r="C161" s="144"/>
      <c r="D161" s="144"/>
      <c r="E161" s="144"/>
      <c r="F161" s="141"/>
      <c r="G161" s="140"/>
      <c r="H161" s="140"/>
      <c r="I161" s="140"/>
      <c r="J161" s="140"/>
      <c r="K161" s="140"/>
      <c r="L161" s="48"/>
      <c r="M161" s="48"/>
      <c r="N161" s="48"/>
      <c r="O161" s="48"/>
    </row>
    <row r="162" spans="2:1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48"/>
      <c r="M162" s="48"/>
      <c r="N162" s="48"/>
      <c r="O162" s="48"/>
    </row>
    <row r="163" spans="2:15">
      <c r="B163" s="54"/>
      <c r="C163" s="54"/>
      <c r="D163" s="54"/>
      <c r="E163" s="54"/>
      <c r="F163" s="54"/>
      <c r="G163" s="54"/>
      <c r="H163" s="141"/>
      <c r="I163" s="141"/>
      <c r="J163" s="141"/>
      <c r="K163" s="141"/>
      <c r="L163" s="48"/>
      <c r="M163" s="48"/>
      <c r="N163" s="48"/>
      <c r="O163" s="48"/>
    </row>
    <row r="164" spans="2:15">
      <c r="B164" s="142"/>
      <c r="C164" s="142"/>
      <c r="D164" s="142"/>
      <c r="E164" s="142"/>
      <c r="F164" s="141"/>
      <c r="G164" s="146"/>
      <c r="H164" s="146"/>
      <c r="I164" s="146"/>
      <c r="J164" s="146"/>
      <c r="K164" s="146"/>
      <c r="L164" s="48"/>
      <c r="M164" s="48"/>
      <c r="N164" s="48"/>
      <c r="O164" s="48"/>
    </row>
    <row r="165" spans="2:15">
      <c r="B165" s="144"/>
      <c r="C165" s="144"/>
      <c r="D165" s="144"/>
      <c r="E165" s="144"/>
      <c r="F165" s="141"/>
      <c r="G165" s="140"/>
      <c r="H165" s="140"/>
      <c r="I165" s="140"/>
      <c r="J165" s="140"/>
      <c r="K165" s="140"/>
      <c r="L165" s="48"/>
      <c r="M165" s="48"/>
      <c r="N165" s="48"/>
      <c r="O165" s="48"/>
    </row>
    <row r="166" spans="2:15">
      <c r="B166" s="144"/>
      <c r="C166" s="144"/>
      <c r="D166" s="144"/>
      <c r="E166" s="144"/>
      <c r="F166" s="141"/>
      <c r="G166" s="140"/>
      <c r="H166" s="140"/>
      <c r="I166" s="140"/>
      <c r="J166" s="140"/>
      <c r="K166" s="140"/>
      <c r="L166" s="48"/>
      <c r="M166" s="48"/>
      <c r="N166" s="48"/>
      <c r="O166" s="48"/>
    </row>
    <row r="167" spans="2:15">
      <c r="B167" s="143"/>
      <c r="C167" s="143"/>
      <c r="D167" s="143"/>
      <c r="E167" s="143"/>
      <c r="F167" s="141"/>
      <c r="G167" s="140"/>
      <c r="H167" s="140"/>
      <c r="I167" s="145"/>
      <c r="J167" s="140"/>
      <c r="K167" s="140"/>
      <c r="L167" s="48"/>
      <c r="M167" s="48"/>
      <c r="N167" s="48"/>
      <c r="O167" s="48"/>
    </row>
    <row r="168" spans="2:15">
      <c r="B168" s="144"/>
      <c r="C168" s="144"/>
      <c r="D168" s="144"/>
      <c r="E168" s="144"/>
      <c r="F168" s="141"/>
      <c r="G168" s="140"/>
      <c r="H168" s="140"/>
      <c r="I168" s="140"/>
      <c r="J168" s="140"/>
      <c r="K168" s="140"/>
      <c r="L168" s="48"/>
      <c r="M168" s="48"/>
      <c r="N168" s="48"/>
      <c r="O168" s="48"/>
    </row>
    <row r="169" spans="2:15">
      <c r="B169" s="144"/>
      <c r="C169" s="144"/>
      <c r="D169" s="144"/>
      <c r="E169" s="144"/>
      <c r="F169" s="141"/>
      <c r="G169" s="140"/>
      <c r="H169" s="140"/>
      <c r="I169" s="140"/>
      <c r="J169" s="140"/>
      <c r="K169" s="140"/>
      <c r="L169" s="48"/>
      <c r="M169" s="48"/>
      <c r="N169" s="48"/>
      <c r="O169" s="48"/>
    </row>
  </sheetData>
  <mergeCells count="8">
    <mergeCell ref="Q45:U45"/>
    <mergeCell ref="F45:P45"/>
    <mergeCell ref="X112:X116"/>
    <mergeCell ref="X93:AD93"/>
    <mergeCell ref="Z110:AD110"/>
    <mergeCell ref="Z100:AD100"/>
    <mergeCell ref="X102:X106"/>
    <mergeCell ref="X108:AD10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76FD-92DB-4BC9-B405-F256E20239F8}">
  <dimension ref="A2:L43"/>
  <sheetViews>
    <sheetView showGridLines="0" tabSelected="1" topLeftCell="A15" zoomScale="117" workbookViewId="0">
      <selection activeCell="N20" sqref="N20"/>
    </sheetView>
  </sheetViews>
  <sheetFormatPr defaultColWidth="8.85546875" defaultRowHeight="15"/>
  <cols>
    <col min="1" max="1" width="14.42578125" customWidth="1"/>
    <col min="2" max="2" width="20.42578125" customWidth="1"/>
    <col min="3" max="3" width="10.85546875" customWidth="1"/>
    <col min="4" max="4" width="13.140625" customWidth="1"/>
    <col min="5" max="5" width="17.140625" bestFit="1" customWidth="1"/>
    <col min="6" max="6" width="19.28515625" bestFit="1" customWidth="1"/>
    <col min="7" max="7" width="18.140625" customWidth="1"/>
    <col min="8" max="8" width="33.42578125" customWidth="1"/>
  </cols>
  <sheetData>
    <row r="2" spans="1:12" ht="18.95">
      <c r="A2" s="196" t="s">
        <v>117</v>
      </c>
      <c r="B2" s="196" t="s">
        <v>118</v>
      </c>
      <c r="C2" s="196" t="s">
        <v>119</v>
      </c>
      <c r="D2" s="196" t="s">
        <v>118</v>
      </c>
      <c r="F2" s="212" t="s">
        <v>117</v>
      </c>
      <c r="G2" s="212" t="s">
        <v>120</v>
      </c>
      <c r="H2" s="212" t="s">
        <v>121</v>
      </c>
    </row>
    <row r="3" spans="1:12" ht="38.1">
      <c r="A3" s="197" t="s">
        <v>122</v>
      </c>
      <c r="B3" s="198" t="s">
        <v>123</v>
      </c>
      <c r="C3" s="198">
        <v>0.53</v>
      </c>
      <c r="D3" s="198" t="s">
        <v>124</v>
      </c>
      <c r="F3" s="209" t="s">
        <v>122</v>
      </c>
      <c r="G3" s="210" t="s">
        <v>125</v>
      </c>
      <c r="H3" s="211" t="s">
        <v>126</v>
      </c>
      <c r="J3" s="28"/>
      <c r="L3" s="28"/>
    </row>
    <row r="4" spans="1:12" ht="38.1">
      <c r="A4" s="197" t="s">
        <v>127</v>
      </c>
      <c r="B4" s="198" t="s">
        <v>128</v>
      </c>
      <c r="C4" s="198">
        <v>1</v>
      </c>
      <c r="D4" s="198" t="s">
        <v>129</v>
      </c>
      <c r="F4" s="209" t="s">
        <v>127</v>
      </c>
      <c r="G4" s="210" t="s">
        <v>130</v>
      </c>
      <c r="H4" s="211" t="s">
        <v>131</v>
      </c>
      <c r="J4" s="28"/>
      <c r="L4" s="28"/>
    </row>
    <row r="5" spans="1:12" ht="57">
      <c r="A5" s="197" t="s">
        <v>132</v>
      </c>
      <c r="B5" s="198" t="s">
        <v>133</v>
      </c>
      <c r="C5" s="198">
        <v>1</v>
      </c>
      <c r="D5" s="198" t="s">
        <v>134</v>
      </c>
      <c r="F5" s="209" t="s">
        <v>132</v>
      </c>
      <c r="G5" s="210" t="s">
        <v>135</v>
      </c>
      <c r="H5" s="211" t="s">
        <v>136</v>
      </c>
      <c r="J5" s="28"/>
      <c r="L5" s="28"/>
    </row>
    <row r="6" spans="1:12" ht="48.75">
      <c r="A6" s="197" t="s">
        <v>137</v>
      </c>
      <c r="B6" s="198" t="s">
        <v>138</v>
      </c>
      <c r="C6" s="198">
        <v>0.08</v>
      </c>
      <c r="D6" s="198" t="s">
        <v>139</v>
      </c>
      <c r="F6" s="209" t="s">
        <v>137</v>
      </c>
      <c r="G6" s="210" t="s">
        <v>140</v>
      </c>
      <c r="H6" s="211" t="s">
        <v>141</v>
      </c>
      <c r="J6" s="28"/>
      <c r="L6" s="28"/>
    </row>
    <row r="7" spans="1:12" ht="33">
      <c r="A7" s="197" t="s">
        <v>142</v>
      </c>
      <c r="B7" s="198" t="s">
        <v>143</v>
      </c>
      <c r="C7" s="198">
        <v>0.74</v>
      </c>
      <c r="D7" s="198" t="s">
        <v>144</v>
      </c>
      <c r="F7" s="209" t="s">
        <v>142</v>
      </c>
      <c r="G7" s="210" t="s">
        <v>145</v>
      </c>
      <c r="H7" s="211" t="s">
        <v>146</v>
      </c>
      <c r="J7" s="28"/>
      <c r="L7" s="28"/>
    </row>
    <row r="8" spans="1:12">
      <c r="H8" s="28"/>
      <c r="J8" s="28"/>
      <c r="L8" s="28"/>
    </row>
    <row r="9" spans="1:12">
      <c r="H9" s="28"/>
      <c r="J9" s="28"/>
      <c r="L9" s="28"/>
    </row>
    <row r="10" spans="1:12" ht="18.95" customHeight="1">
      <c r="A10" s="221" t="s">
        <v>147</v>
      </c>
      <c r="B10" s="221"/>
      <c r="C10" s="221"/>
      <c r="D10" s="221"/>
      <c r="E10" s="195"/>
      <c r="H10" s="28"/>
      <c r="J10" s="28"/>
      <c r="L10" s="28"/>
    </row>
    <row r="11" spans="1:12" ht="18.75">
      <c r="A11" s="196" t="s">
        <v>117</v>
      </c>
      <c r="B11" s="203" t="s">
        <v>148</v>
      </c>
      <c r="C11" s="203" t="s">
        <v>149</v>
      </c>
      <c r="D11" s="203" t="s">
        <v>150</v>
      </c>
      <c r="H11" s="28"/>
      <c r="J11" s="28"/>
      <c r="L11" s="28"/>
    </row>
    <row r="12" spans="1:12" ht="36">
      <c r="A12" s="199" t="s">
        <v>151</v>
      </c>
      <c r="B12" s="207">
        <v>18.3</v>
      </c>
      <c r="C12" s="207">
        <v>10.7</v>
      </c>
      <c r="D12" s="207">
        <v>30.8</v>
      </c>
    </row>
    <row r="13" spans="1:12" ht="36">
      <c r="A13" s="199" t="s">
        <v>152</v>
      </c>
      <c r="B13" s="207">
        <v>15.4</v>
      </c>
      <c r="C13" s="207">
        <v>7.6</v>
      </c>
      <c r="D13" s="207">
        <v>19.899999999999999</v>
      </c>
    </row>
    <row r="14" spans="1:12" ht="36">
      <c r="A14" s="199" t="s">
        <v>153</v>
      </c>
      <c r="B14" s="207">
        <v>9</v>
      </c>
      <c r="C14" s="207">
        <v>6.7</v>
      </c>
      <c r="D14" s="207">
        <v>13</v>
      </c>
    </row>
    <row r="15" spans="1:12" ht="36">
      <c r="A15" s="199" t="s">
        <v>154</v>
      </c>
      <c r="B15" s="207">
        <v>16.100000000000001</v>
      </c>
      <c r="C15" s="207">
        <v>6.7</v>
      </c>
      <c r="D15" s="207">
        <v>19.5</v>
      </c>
    </row>
    <row r="16" spans="1:12" ht="36">
      <c r="A16" s="199" t="s">
        <v>155</v>
      </c>
      <c r="B16" s="207">
        <v>28</v>
      </c>
      <c r="C16" s="207">
        <v>2.8</v>
      </c>
      <c r="D16" s="207">
        <v>15.1</v>
      </c>
    </row>
    <row r="17" spans="1:4" ht="18.75">
      <c r="A17" s="201" t="s">
        <v>156</v>
      </c>
      <c r="B17" s="208">
        <f>MEDIAN(B12:B16)</f>
        <v>16.100000000000001</v>
      </c>
      <c r="C17" s="208">
        <f t="shared" ref="C17:D17" si="0">MEDIAN(C12:C16)</f>
        <v>6.7</v>
      </c>
      <c r="D17" s="208">
        <f t="shared" si="0"/>
        <v>19.5</v>
      </c>
    </row>
    <row r="18" spans="1:4" ht="18.75">
      <c r="A18" s="200" t="s">
        <v>157</v>
      </c>
      <c r="B18" s="207">
        <f>AVERAGE(B12:B16)</f>
        <v>17.360000000000003</v>
      </c>
      <c r="C18" s="207">
        <f t="shared" ref="C18:D18" si="1">AVERAGE(C12:C16)</f>
        <v>6.8999999999999986</v>
      </c>
      <c r="D18" s="207">
        <f>AVERAGE(D12:D16)</f>
        <v>19.66</v>
      </c>
    </row>
    <row r="19" spans="1:4" ht="36">
      <c r="A19" s="202" t="s">
        <v>158</v>
      </c>
      <c r="B19" s="208">
        <v>10.7</v>
      </c>
      <c r="C19" s="208">
        <v>7.4</v>
      </c>
      <c r="D19" s="208">
        <v>14.7</v>
      </c>
    </row>
    <row r="21" spans="1:4" ht="18.95">
      <c r="A21" s="236" t="s">
        <v>159</v>
      </c>
      <c r="B21" s="236"/>
    </row>
    <row r="22" spans="1:4" ht="18.95">
      <c r="A22" s="200"/>
      <c r="B22" s="200"/>
    </row>
    <row r="23" spans="1:4" ht="18.95">
      <c r="A23" s="215" t="s">
        <v>160</v>
      </c>
      <c r="B23" s="215" t="s">
        <v>161</v>
      </c>
      <c r="C23" s="214"/>
    </row>
    <row r="24" spans="1:4" ht="18.95">
      <c r="A24" s="200" t="s">
        <v>162</v>
      </c>
      <c r="B24" s="216" t="s">
        <v>163</v>
      </c>
      <c r="C24" s="214"/>
    </row>
    <row r="25" spans="1:4" ht="18.95">
      <c r="A25" s="215" t="s">
        <v>164</v>
      </c>
      <c r="B25" s="217">
        <f>16.1*317</f>
        <v>5103.7000000000007</v>
      </c>
      <c r="C25" s="214"/>
    </row>
    <row r="26" spans="1:4" ht="18.95">
      <c r="A26" s="200" t="s">
        <v>165</v>
      </c>
      <c r="B26" s="216" t="s">
        <v>166</v>
      </c>
      <c r="C26" s="214"/>
    </row>
    <row r="27" spans="1:4" ht="18.95">
      <c r="A27" s="200" t="s">
        <v>3</v>
      </c>
      <c r="B27" s="218" t="s">
        <v>167</v>
      </c>
      <c r="C27" s="214"/>
    </row>
    <row r="28" spans="1:4" ht="18.95">
      <c r="A28" s="215" t="s">
        <v>103</v>
      </c>
      <c r="B28" s="219">
        <f>5103.7 + 42.9 - 7.2</f>
        <v>5139.3999999999996</v>
      </c>
      <c r="C28" s="214"/>
    </row>
    <row r="29" spans="1:4" ht="18.95">
      <c r="A29" s="200" t="s">
        <v>168</v>
      </c>
      <c r="B29" s="216" t="s">
        <v>169</v>
      </c>
      <c r="C29" s="214"/>
    </row>
    <row r="30" spans="1:4" ht="18.95">
      <c r="A30" s="215" t="s">
        <v>108</v>
      </c>
      <c r="B30" s="215" t="s">
        <v>170</v>
      </c>
      <c r="C30" s="214"/>
    </row>
    <row r="31" spans="1:4" ht="15.95">
      <c r="A31" s="213"/>
      <c r="B31" s="213"/>
      <c r="C31" s="214"/>
    </row>
    <row r="32" spans="1:4" ht="15.95">
      <c r="A32" s="213"/>
      <c r="B32" s="213"/>
    </row>
    <row r="33" spans="1:3" ht="15.95">
      <c r="A33" s="213" t="s">
        <v>171</v>
      </c>
      <c r="B33" s="213"/>
      <c r="C33" s="214"/>
    </row>
    <row r="34" spans="1:3" ht="18.95">
      <c r="A34" s="196" t="s">
        <v>117</v>
      </c>
      <c r="B34" s="203" t="s">
        <v>172</v>
      </c>
      <c r="C34" s="203" t="s">
        <v>97</v>
      </c>
    </row>
    <row r="35" spans="1:3" ht="20.100000000000001">
      <c r="A35" s="199" t="s">
        <v>122</v>
      </c>
      <c r="B35" s="205">
        <v>0.44</v>
      </c>
      <c r="C35" s="205">
        <v>7.0000000000000007E-2</v>
      </c>
    </row>
    <row r="36" spans="1:3" ht="20.100000000000001">
      <c r="A36" s="199" t="s">
        <v>127</v>
      </c>
      <c r="B36" s="205">
        <v>0.46</v>
      </c>
      <c r="C36" s="205">
        <v>0.14000000000000001</v>
      </c>
    </row>
    <row r="37" spans="1:3" ht="20.100000000000001">
      <c r="A37" s="199" t="s">
        <v>132</v>
      </c>
      <c r="B37" s="205">
        <v>0.67</v>
      </c>
      <c r="C37" s="205">
        <v>0.04</v>
      </c>
    </row>
    <row r="38" spans="1:3" ht="20.100000000000001">
      <c r="A38" s="199" t="s">
        <v>137</v>
      </c>
      <c r="B38" s="205">
        <v>0.48</v>
      </c>
      <c r="C38" s="205">
        <v>0.1</v>
      </c>
    </row>
    <row r="39" spans="1:3" ht="20.100000000000001">
      <c r="A39" s="199" t="s">
        <v>142</v>
      </c>
      <c r="B39" s="205">
        <v>0.1</v>
      </c>
      <c r="C39" s="205">
        <v>0.16</v>
      </c>
    </row>
    <row r="40" spans="1:3" ht="18.95">
      <c r="A40" s="201" t="s">
        <v>156</v>
      </c>
      <c r="B40" s="204">
        <f>MEDIAN(B35:B39)</f>
        <v>0.46</v>
      </c>
      <c r="C40" s="204">
        <f>MEDIAN(C35:C39)</f>
        <v>0.1</v>
      </c>
    </row>
    <row r="41" spans="1:3" ht="18.95">
      <c r="A41" s="200" t="s">
        <v>157</v>
      </c>
      <c r="B41" s="205">
        <f>AVERAGE(B35:B39)</f>
        <v>0.43</v>
      </c>
      <c r="C41" s="205">
        <f>AVERAGE(C35:C39)</f>
        <v>0.10200000000000001</v>
      </c>
    </row>
    <row r="42" spans="1:3" ht="36.950000000000003">
      <c r="A42" s="202" t="s">
        <v>158</v>
      </c>
      <c r="B42" s="204">
        <v>0.7</v>
      </c>
      <c r="C42" s="204">
        <v>0.09</v>
      </c>
    </row>
    <row r="43" spans="1:3">
      <c r="B43" s="206"/>
      <c r="C43" s="206"/>
    </row>
  </sheetData>
  <mergeCells count="2">
    <mergeCell ref="A10:D10"/>
    <mergeCell ref="A21:B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1471-39D2-4F10-A1D5-FF17B135C813}">
  <dimension ref="A1:V62"/>
  <sheetViews>
    <sheetView showGridLines="0" topLeftCell="A33" zoomScale="88" workbookViewId="0">
      <selection activeCell="Q62" sqref="Q62"/>
    </sheetView>
  </sheetViews>
  <sheetFormatPr defaultColWidth="8.85546875" defaultRowHeight="15"/>
  <cols>
    <col min="1" max="1" width="32.42578125" style="45" bestFit="1" customWidth="1"/>
    <col min="2" max="2" width="13.28515625" style="45" customWidth="1"/>
    <col min="3" max="3" width="16.42578125" style="45" bestFit="1" customWidth="1"/>
    <col min="4" max="4" width="17" style="45" bestFit="1" customWidth="1"/>
    <col min="5" max="5" width="11.42578125" style="45" bestFit="1" customWidth="1"/>
    <col min="6" max="6" width="12" style="45" bestFit="1" customWidth="1"/>
    <col min="7" max="7" width="19.42578125" style="45" bestFit="1" customWidth="1"/>
    <col min="8" max="14" width="8.85546875" style="45"/>
    <col min="15" max="15" width="14.42578125" style="45" bestFit="1" customWidth="1"/>
    <col min="16" max="16" width="11.42578125" style="45" bestFit="1" customWidth="1"/>
    <col min="17" max="17" width="8.85546875" style="45"/>
    <col min="18" max="18" width="14.42578125" style="45" bestFit="1" customWidth="1"/>
    <col min="19" max="19" width="8.85546875" style="45" bestFit="1" customWidth="1"/>
    <col min="20" max="20" width="8.85546875" style="45"/>
    <col min="21" max="21" width="14.42578125" style="45" bestFit="1" customWidth="1"/>
    <col min="22" max="16384" width="8.85546875" style="45"/>
  </cols>
  <sheetData>
    <row r="1" spans="1:22" ht="15" customHeight="1">
      <c r="A1" s="235" t="s">
        <v>173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48"/>
      <c r="N1" s="48"/>
      <c r="O1" s="48"/>
    </row>
    <row r="2" spans="1:22">
      <c r="A2" s="48"/>
      <c r="B2" s="48"/>
      <c r="C2" s="48"/>
      <c r="D2" s="48"/>
      <c r="E2" s="48"/>
      <c r="F2" s="48"/>
      <c r="G2" s="179" t="s">
        <v>174</v>
      </c>
      <c r="H2" s="186">
        <v>416</v>
      </c>
      <c r="I2" s="180" t="s">
        <v>175</v>
      </c>
      <c r="J2" s="181"/>
      <c r="K2" s="181"/>
      <c r="L2" s="48"/>
      <c r="M2" s="48"/>
      <c r="N2" s="48"/>
      <c r="O2" s="48"/>
    </row>
    <row r="3" spans="1:22" ht="15.75" customHeight="1">
      <c r="A3" s="235" t="s">
        <v>176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48"/>
      <c r="N3" s="48"/>
      <c r="O3" s="232" t="s">
        <v>177</v>
      </c>
      <c r="P3" s="232"/>
      <c r="Q3" s="232"/>
      <c r="R3" s="232"/>
      <c r="S3" s="232"/>
      <c r="T3" s="232"/>
      <c r="U3" s="232"/>
      <c r="V3" s="232"/>
    </row>
    <row r="4" spans="1:22">
      <c r="A4" s="179"/>
      <c r="B4" s="179" t="s">
        <v>178</v>
      </c>
      <c r="C4" s="179" t="s">
        <v>179</v>
      </c>
      <c r="D4" s="179" t="s">
        <v>180</v>
      </c>
      <c r="E4" s="179" t="s">
        <v>181</v>
      </c>
      <c r="F4" s="179" t="s">
        <v>182</v>
      </c>
      <c r="G4" s="48"/>
      <c r="H4" s="48"/>
      <c r="I4" s="48"/>
      <c r="J4" s="48"/>
      <c r="K4" s="48"/>
      <c r="L4" s="48"/>
      <c r="M4" s="48"/>
      <c r="N4" s="48"/>
      <c r="P4" s="45" t="s">
        <v>183</v>
      </c>
      <c r="S4" s="45" t="s">
        <v>184</v>
      </c>
      <c r="V4" s="45" t="s">
        <v>185</v>
      </c>
    </row>
    <row r="5" spans="1:22">
      <c r="A5" s="179" t="s">
        <v>186</v>
      </c>
      <c r="B5" s="185" t="e">
        <f>DCF!AD102*100</f>
        <v>#VALUE!</v>
      </c>
      <c r="C5" s="185" t="e">
        <f>DCF!AB104*100</f>
        <v>#VALUE!</v>
      </c>
      <c r="D5" s="185" t="e">
        <f>DCF!Z106*100</f>
        <v>#VALUE!</v>
      </c>
      <c r="E5" s="182" t="e">
        <f>(B5-$H$2)/$H$2</f>
        <v>#VALUE!</v>
      </c>
      <c r="F5" s="182" t="e">
        <f>(D5-$H$2)/$H$2</f>
        <v>#VALUE!</v>
      </c>
      <c r="G5" s="181"/>
      <c r="H5" s="181"/>
      <c r="I5" s="181"/>
      <c r="J5" s="48"/>
      <c r="K5" s="48"/>
      <c r="L5" s="48"/>
      <c r="M5" s="48"/>
      <c r="N5" s="48"/>
      <c r="O5" s="48" t="s">
        <v>187</v>
      </c>
      <c r="P5" s="45">
        <f>'Relative Comps'!C17</f>
        <v>6.7</v>
      </c>
      <c r="R5" s="48" t="s">
        <v>150</v>
      </c>
      <c r="S5" s="45">
        <f>'Relative Comps'!D17</f>
        <v>19.5</v>
      </c>
      <c r="U5" s="48" t="s">
        <v>148</v>
      </c>
      <c r="V5" s="45">
        <f>'Relative Comps'!B17</f>
        <v>16.100000000000001</v>
      </c>
    </row>
    <row r="6" spans="1:22">
      <c r="A6" s="183" t="s">
        <v>188</v>
      </c>
      <c r="B6" s="185" t="e">
        <f>DCF!AC103*100</f>
        <v>#VALUE!</v>
      </c>
      <c r="C6" s="185" t="e">
        <f>DCF!AB104*100</f>
        <v>#VALUE!</v>
      </c>
      <c r="D6" s="185" t="e">
        <f>DCF!AA105*100</f>
        <v>#VALUE!</v>
      </c>
      <c r="E6" s="182" t="e">
        <f t="shared" ref="E6:E10" si="0">(B6-$H$2)/$H$2</f>
        <v>#VALUE!</v>
      </c>
      <c r="F6" s="182" t="e">
        <f t="shared" ref="F6:F10" si="1">(D6-$H$2)/$H$2</f>
        <v>#VALUE!</v>
      </c>
      <c r="G6" s="181"/>
      <c r="H6" s="181"/>
      <c r="I6" s="48"/>
      <c r="J6" s="48"/>
      <c r="K6" s="48"/>
      <c r="L6" s="48"/>
      <c r="M6" s="48"/>
      <c r="N6" s="48"/>
      <c r="O6" s="48" t="s">
        <v>189</v>
      </c>
      <c r="P6" s="45">
        <f>DCF!P52</f>
        <v>425.1</v>
      </c>
      <c r="R6" s="48" t="s">
        <v>190</v>
      </c>
      <c r="S6" s="45">
        <f>DCF!P86</f>
        <v>217.1</v>
      </c>
      <c r="U6" s="48" t="s">
        <v>191</v>
      </c>
      <c r="V6" s="45">
        <f>DCF!Q63+DCF!Q59</f>
        <v>316.97560000000004</v>
      </c>
    </row>
    <row r="7" spans="1:22">
      <c r="A7" s="179" t="s">
        <v>192</v>
      </c>
      <c r="B7" s="185" t="e">
        <f>DCF!Z116*100</f>
        <v>#VALUE!</v>
      </c>
      <c r="C7" s="185" t="e">
        <f>DCF!AB114*100</f>
        <v>#VALUE!</v>
      </c>
      <c r="D7" s="185" t="e">
        <f>DCF!AD112*100</f>
        <v>#VALUE!</v>
      </c>
      <c r="E7" s="182" t="e">
        <f t="shared" si="0"/>
        <v>#VALUE!</v>
      </c>
      <c r="F7" s="182" t="e">
        <f t="shared" si="1"/>
        <v>#VALUE!</v>
      </c>
      <c r="G7" s="181"/>
      <c r="H7" s="181"/>
      <c r="I7" s="48"/>
      <c r="J7" s="48"/>
      <c r="K7" s="48"/>
      <c r="L7" s="48"/>
      <c r="M7" s="48"/>
      <c r="N7" s="48"/>
      <c r="O7" s="48" t="s">
        <v>193</v>
      </c>
      <c r="P7" s="45">
        <f>SUM(DCF!F110:F111)</f>
        <v>35.722000000000001</v>
      </c>
      <c r="R7" s="48" t="s">
        <v>168</v>
      </c>
      <c r="S7" s="184">
        <f>DCF!F113</f>
        <v>772.4</v>
      </c>
      <c r="U7" s="48" t="s">
        <v>193</v>
      </c>
      <c r="V7" s="45">
        <f>SUM(DCF!F110:F111)</f>
        <v>35.722000000000001</v>
      </c>
    </row>
    <row r="8" spans="1:22">
      <c r="A8" s="183" t="s">
        <v>194</v>
      </c>
      <c r="B8" s="185" t="e">
        <f>DCF!AA115*100</f>
        <v>#VALUE!</v>
      </c>
      <c r="C8" s="185" t="e">
        <f>DCF!AB114*100</f>
        <v>#VALUE!</v>
      </c>
      <c r="D8" s="185" t="e">
        <f>DCF!AC113*100</f>
        <v>#VALUE!</v>
      </c>
      <c r="E8" s="182" t="e">
        <f t="shared" si="0"/>
        <v>#VALUE!</v>
      </c>
      <c r="F8" s="182" t="e">
        <f t="shared" si="1"/>
        <v>#VALUE!</v>
      </c>
      <c r="G8" s="181"/>
      <c r="H8" s="181"/>
      <c r="I8" s="48"/>
      <c r="J8" s="48"/>
      <c r="K8" s="48"/>
      <c r="L8" s="48"/>
      <c r="M8" s="48"/>
      <c r="N8" s="48"/>
      <c r="O8" s="48" t="s">
        <v>168</v>
      </c>
      <c r="P8" s="184">
        <f>DCF!F113</f>
        <v>772.4</v>
      </c>
      <c r="R8" s="48"/>
      <c r="S8" s="184"/>
      <c r="U8" s="48" t="s">
        <v>168</v>
      </c>
      <c r="V8" s="184">
        <f>DCF!F113</f>
        <v>772.4</v>
      </c>
    </row>
    <row r="9" spans="1:22">
      <c r="A9" s="179" t="s">
        <v>195</v>
      </c>
      <c r="B9" s="185">
        <f>339</f>
        <v>339</v>
      </c>
      <c r="C9" s="185">
        <f>416</f>
        <v>416</v>
      </c>
      <c r="D9" s="185">
        <f>609</f>
        <v>609</v>
      </c>
      <c r="E9" s="182">
        <f t="shared" si="0"/>
        <v>-0.18509615384615385</v>
      </c>
      <c r="F9" s="182">
        <f t="shared" si="1"/>
        <v>0.46394230769230771</v>
      </c>
      <c r="G9" s="180" t="s">
        <v>196</v>
      </c>
      <c r="H9" s="181"/>
      <c r="I9" s="48"/>
      <c r="J9" s="48"/>
      <c r="K9" s="48"/>
      <c r="L9" s="48"/>
      <c r="M9" s="48"/>
      <c r="N9" s="48"/>
      <c r="O9" s="193" t="s">
        <v>197</v>
      </c>
      <c r="P9" s="194">
        <f>(P5*P6+P7)/P8*100</f>
        <v>373.36768513723462</v>
      </c>
      <c r="R9" s="193" t="s">
        <v>197</v>
      </c>
      <c r="S9" s="194">
        <f>S6/S7*100*S5</f>
        <v>548.09036768513715</v>
      </c>
      <c r="U9" s="193" t="s">
        <v>197</v>
      </c>
      <c r="V9" s="194">
        <f>(V5*V6+V7)/V8*100</f>
        <v>665.33262040393595</v>
      </c>
    </row>
    <row r="10" spans="1:22">
      <c r="A10" s="179" t="s">
        <v>198</v>
      </c>
      <c r="B10" s="185">
        <f>420</f>
        <v>420</v>
      </c>
      <c r="C10" s="185">
        <f>709</f>
        <v>709</v>
      </c>
      <c r="D10" s="185">
        <f>900</f>
        <v>900</v>
      </c>
      <c r="E10" s="182">
        <f t="shared" si="0"/>
        <v>9.6153846153846159E-3</v>
      </c>
      <c r="F10" s="182">
        <f t="shared" si="1"/>
        <v>1.1634615384615385</v>
      </c>
      <c r="G10" s="180" t="s">
        <v>199</v>
      </c>
      <c r="H10" s="181"/>
      <c r="I10" s="181"/>
      <c r="J10" s="48"/>
      <c r="K10" s="48"/>
      <c r="L10" s="48"/>
      <c r="M10" s="48"/>
      <c r="N10" s="48"/>
      <c r="O10" s="48"/>
    </row>
    <row r="11" spans="1:22">
      <c r="A11" s="179" t="s">
        <v>200</v>
      </c>
      <c r="B11" s="185">
        <f>P9</f>
        <v>373.36768513723462</v>
      </c>
      <c r="C11" s="185">
        <f>S9</f>
        <v>548.09036768513715</v>
      </c>
      <c r="D11" s="185">
        <f>V9</f>
        <v>665.33262040393595</v>
      </c>
      <c r="E11" s="182">
        <f t="shared" ref="E11" si="2">(B11-$H$2)/$H$2</f>
        <v>-0.10248152611241679</v>
      </c>
      <c r="F11" s="182">
        <f t="shared" ref="F11" si="3">(D11-$H$2)/$H$2</f>
        <v>0.5993572605863845</v>
      </c>
      <c r="G11" s="180"/>
      <c r="H11" s="181"/>
      <c r="I11" s="181"/>
      <c r="J11" s="48"/>
      <c r="K11" s="48"/>
      <c r="L11" s="48"/>
      <c r="M11" s="48"/>
      <c r="N11" s="48"/>
      <c r="O11" s="48"/>
    </row>
    <row r="12" spans="1:2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1:22" ht="15.95" customHeight="1">
      <c r="A13" s="235" t="s">
        <v>201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</row>
    <row r="14" spans="1:22">
      <c r="A14" s="187"/>
      <c r="B14" s="187" t="s">
        <v>202</v>
      </c>
      <c r="C14" s="187" t="s">
        <v>203</v>
      </c>
      <c r="D14" s="187" t="s">
        <v>204</v>
      </c>
    </row>
    <row r="15" spans="1:22">
      <c r="A15" s="21" t="str">
        <f t="shared" ref="A15:B20" si="4">A5</f>
        <v xml:space="preserve">DCF Base Case  </v>
      </c>
      <c r="B15" s="22" t="e">
        <f t="shared" si="4"/>
        <v>#VALUE!</v>
      </c>
      <c r="C15" s="22" t="e">
        <f t="shared" ref="C15:C20" si="5">D5-B5</f>
        <v>#VALUE!</v>
      </c>
      <c r="D15" s="22" t="e">
        <f t="shared" ref="D15" si="6">C5-B5</f>
        <v>#VALUE!</v>
      </c>
    </row>
    <row r="16" spans="1:22">
      <c r="A16" s="21" t="str">
        <f t="shared" si="4"/>
        <v>DCF Bear / Bull Scenarios</v>
      </c>
      <c r="B16" s="22" t="e">
        <f t="shared" ref="B16" si="7">B6</f>
        <v>#VALUE!</v>
      </c>
      <c r="C16" s="22" t="e">
        <f t="shared" si="5"/>
        <v>#VALUE!</v>
      </c>
      <c r="D16" s="22" t="e">
        <f t="shared" ref="D16:D20" si="8">C6-B6</f>
        <v>#VALUE!</v>
      </c>
    </row>
    <row r="17" spans="1:4">
      <c r="A17" s="21" t="str">
        <f t="shared" si="4"/>
        <v xml:space="preserve">Revenue Growth Sensitivity </v>
      </c>
      <c r="B17" s="22" t="e">
        <f t="shared" ref="B17" si="9">B7</f>
        <v>#VALUE!</v>
      </c>
      <c r="C17" s="22" t="e">
        <f t="shared" si="5"/>
        <v>#VALUE!</v>
      </c>
      <c r="D17" s="22" t="e">
        <f t="shared" si="8"/>
        <v>#VALUE!</v>
      </c>
    </row>
    <row r="18" spans="1:4">
      <c r="A18" s="21" t="str">
        <f t="shared" si="4"/>
        <v>SG&amp;A Sensitivity</v>
      </c>
      <c r="B18" s="22" t="e">
        <f t="shared" ref="B18" si="10">B8</f>
        <v>#VALUE!</v>
      </c>
      <c r="C18" s="22" t="e">
        <f t="shared" si="5"/>
        <v>#VALUE!</v>
      </c>
      <c r="D18" s="22" t="e">
        <f t="shared" si="8"/>
        <v>#VALUE!</v>
      </c>
    </row>
    <row r="19" spans="1:4">
      <c r="A19" s="21" t="str">
        <f t="shared" si="4"/>
        <v>52-Week Trading Range</v>
      </c>
      <c r="B19" s="22">
        <f t="shared" ref="B19" si="11">B9</f>
        <v>339</v>
      </c>
      <c r="C19" s="22">
        <f t="shared" si="5"/>
        <v>270</v>
      </c>
      <c r="D19" s="22">
        <f t="shared" si="8"/>
        <v>77</v>
      </c>
    </row>
    <row r="20" spans="1:4">
      <c r="A20" s="21" t="str">
        <f t="shared" si="4"/>
        <v xml:space="preserve">Analyst Consensus </v>
      </c>
      <c r="B20" s="22">
        <f t="shared" ref="B20:B21" si="12">B10</f>
        <v>420</v>
      </c>
      <c r="C20" s="22">
        <f t="shared" si="5"/>
        <v>480</v>
      </c>
      <c r="D20" s="22">
        <f t="shared" si="8"/>
        <v>289</v>
      </c>
    </row>
    <row r="21" spans="1:4">
      <c r="A21" s="183" t="s">
        <v>205</v>
      </c>
      <c r="B21" s="22">
        <f t="shared" si="12"/>
        <v>373.36768513723462</v>
      </c>
      <c r="C21" s="22">
        <f t="shared" ref="C21" si="13">D11-B11</f>
        <v>291.96493526670133</v>
      </c>
      <c r="D21" s="22">
        <f t="shared" ref="D21" si="14">C11-B11</f>
        <v>174.72268254790254</v>
      </c>
    </row>
    <row r="50" spans="1:7" ht="15.95">
      <c r="A50" s="235" t="s">
        <v>206</v>
      </c>
      <c r="B50" s="235"/>
      <c r="C50" s="235"/>
      <c r="D50" s="235"/>
      <c r="E50" s="235"/>
      <c r="F50" s="235"/>
      <c r="G50" s="235"/>
    </row>
    <row r="51" spans="1:7">
      <c r="A51" s="234"/>
      <c r="B51" s="234"/>
      <c r="C51" s="234"/>
      <c r="D51" s="234"/>
      <c r="E51" s="234"/>
      <c r="F51" s="234"/>
      <c r="G51" s="234"/>
    </row>
    <row r="52" spans="1:7">
      <c r="A52" s="188"/>
      <c r="B52" s="188" t="s">
        <v>207</v>
      </c>
      <c r="C52" s="188" t="s">
        <v>208</v>
      </c>
      <c r="D52" s="188" t="s">
        <v>209</v>
      </c>
      <c r="E52" s="188" t="s">
        <v>210</v>
      </c>
    </row>
    <row r="53" spans="1:7">
      <c r="A53" s="21" t="s">
        <v>211</v>
      </c>
      <c r="B53" s="189">
        <v>0.5</v>
      </c>
      <c r="C53" s="25" t="e">
        <f>C5</f>
        <v>#VALUE!</v>
      </c>
      <c r="D53" s="26" t="e">
        <f>B53*C53</f>
        <v>#VALUE!</v>
      </c>
      <c r="E53" s="27" t="e">
        <f>(C53-$H$2)/$H$2</f>
        <v>#VALUE!</v>
      </c>
      <c r="G53" s="20"/>
    </row>
    <row r="54" spans="1:7">
      <c r="A54" s="21" t="s">
        <v>212</v>
      </c>
      <c r="B54" s="189">
        <v>0.25</v>
      </c>
      <c r="C54" s="25" t="e">
        <f>C7</f>
        <v>#VALUE!</v>
      </c>
      <c r="D54" s="26" t="e">
        <f>B54*C54</f>
        <v>#VALUE!</v>
      </c>
      <c r="E54" s="27" t="e">
        <f t="shared" ref="E54:E56" si="15">(C54-$H$2)/$H$2</f>
        <v>#VALUE!</v>
      </c>
      <c r="G54" s="20"/>
    </row>
    <row r="55" spans="1:7">
      <c r="A55" s="21" t="s">
        <v>213</v>
      </c>
      <c r="B55" s="189">
        <v>0.15</v>
      </c>
      <c r="C55" s="25">
        <f>C10</f>
        <v>709</v>
      </c>
      <c r="D55" s="26">
        <f>B55*C55</f>
        <v>106.35</v>
      </c>
      <c r="E55" s="27">
        <f t="shared" si="15"/>
        <v>0.70432692307692313</v>
      </c>
      <c r="G55" s="20"/>
    </row>
    <row r="56" spans="1:7">
      <c r="A56" s="21" t="s">
        <v>214</v>
      </c>
      <c r="B56" s="189">
        <v>0.1</v>
      </c>
      <c r="C56" s="25">
        <f>D11</f>
        <v>665.33262040393595</v>
      </c>
      <c r="D56" s="26">
        <f>B56*C56</f>
        <v>66.533262040393595</v>
      </c>
      <c r="E56" s="27">
        <f t="shared" si="15"/>
        <v>0.5993572605863845</v>
      </c>
      <c r="G56" s="20"/>
    </row>
    <row r="58" spans="1:7">
      <c r="A58" s="23" t="s">
        <v>215</v>
      </c>
      <c r="D58" s="190" t="e">
        <f>SUMPRODUCT(B53:B56,C53:C56)</f>
        <v>#VALUE!</v>
      </c>
      <c r="E58" s="191" t="e">
        <f>(D58-$H$2)/$H$2</f>
        <v>#VALUE!</v>
      </c>
    </row>
    <row r="59" spans="1:7">
      <c r="A59" s="23" t="s">
        <v>216</v>
      </c>
      <c r="D59" s="192">
        <f>DCF!F114</f>
        <v>567.35375002065655</v>
      </c>
      <c r="G59" s="20"/>
    </row>
    <row r="60" spans="1:7">
      <c r="A60" s="21" t="s">
        <v>217</v>
      </c>
      <c r="B60" s="24">
        <f>SUM(B53:B56)</f>
        <v>1</v>
      </c>
      <c r="C60" s="20"/>
    </row>
    <row r="62" spans="1:7" ht="36.75" customHeight="1">
      <c r="A62" s="233" t="s">
        <v>218</v>
      </c>
      <c r="B62" s="233"/>
      <c r="C62" s="233"/>
      <c r="D62" s="233"/>
      <c r="E62" s="233"/>
      <c r="F62" s="233"/>
      <c r="G62" s="233"/>
    </row>
  </sheetData>
  <mergeCells count="7">
    <mergeCell ref="O3:V3"/>
    <mergeCell ref="A62:G62"/>
    <mergeCell ref="A51:G51"/>
    <mergeCell ref="A1:L1"/>
    <mergeCell ref="A3:L3"/>
    <mergeCell ref="A13:L13"/>
    <mergeCell ref="A50:G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2026-05-21T08:04:43Z</dcterms:created>
  <dcterms:modified xsi:type="dcterms:W3CDTF">2026-06-27T21:27:02Z</dcterms:modified>
  <cp:category/>
  <cp:contentStatus/>
</cp:coreProperties>
</file>